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24226"/>
  <mc:AlternateContent xmlns:mc="http://schemas.openxmlformats.org/markup-compatibility/2006">
    <mc:Choice Requires="x15">
      <x15ac:absPath xmlns:x15ac="http://schemas.microsoft.com/office/spreadsheetml/2010/11/ac" url="C:\Users\paudet\Desktop\YG Bond Project\"/>
    </mc:Choice>
  </mc:AlternateContent>
  <xr:revisionPtr revIDLastSave="196" documentId="8_{FA268EF6-02B6-4E19-B21E-FD70CB3D1961}" xr6:coauthVersionLast="47" xr6:coauthVersionMax="47" xr10:uidLastSave="{E002B9FF-6196-43D9-ABA6-C2294EBFAA38}"/>
  <bookViews>
    <workbookView xWindow="0" yWindow="0" windowWidth="21570" windowHeight="7380" xr2:uid="{00000000-000D-0000-FFFF-FFFF00000000}"/>
  </bookViews>
  <sheets>
    <sheet name="Calculation Sheet" sheetId="1" r:id="rId1"/>
    <sheet name="Summary Sheet" sheetId="6" r:id="rId2"/>
    <sheet name="Rate Sheet" sheetId="4" r:id="rId3"/>
  </sheets>
  <definedNames>
    <definedName name="_xlnm._FilterDatabase" localSheetId="1" hidden="1">'Summary Sheet'!$C$28:$C$30</definedName>
    <definedName name="_xlnm.Print_Area" localSheetId="0">'Calculation Sheet'!$A$1:$AA$220</definedName>
    <definedName name="_xlnm.Print_Area" localSheetId="1">'Summary Sheet'!$A$1:$J$32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9" i="1" l="1"/>
  <c r="K98" i="1"/>
  <c r="K97" i="1"/>
  <c r="M100" i="1" s="1"/>
  <c r="K93" i="1"/>
  <c r="K92" i="1"/>
  <c r="K91" i="1"/>
  <c r="M94" i="1" s="1"/>
  <c r="I25" i="1"/>
  <c r="I24" i="1"/>
  <c r="F17" i="1" l="1"/>
  <c r="D10" i="6" l="1"/>
  <c r="F62" i="1"/>
  <c r="F61" i="1"/>
  <c r="F60" i="1"/>
  <c r="F58" i="1"/>
  <c r="F57" i="1"/>
  <c r="F56" i="1"/>
  <c r="F54" i="1"/>
  <c r="F53" i="1"/>
  <c r="F52" i="1"/>
  <c r="F46" i="1"/>
  <c r="G46" i="1" s="1"/>
  <c r="H46" i="1" s="1"/>
  <c r="J46" i="1" s="1"/>
  <c r="F48" i="1" s="1"/>
  <c r="K48" i="1" s="1"/>
  <c r="D9" i="6" s="1"/>
  <c r="F39" i="1"/>
  <c r="G39" i="1" s="1"/>
  <c r="H39" i="1" s="1"/>
  <c r="J39" i="1" s="1"/>
  <c r="F41" i="1" s="1"/>
  <c r="F18" i="1"/>
  <c r="I22" i="1"/>
  <c r="J22" i="1" s="1"/>
  <c r="I31" i="1"/>
  <c r="L31" i="1" s="1"/>
  <c r="I30" i="1"/>
  <c r="L30" i="1" s="1"/>
  <c r="I28" i="1"/>
  <c r="L28" i="1" s="1"/>
  <c r="I27" i="1"/>
  <c r="L27" i="1" s="1"/>
  <c r="L25" i="1"/>
  <c r="L24" i="1"/>
  <c r="I21" i="1"/>
  <c r="L21" i="1" l="1"/>
  <c r="K21" i="1"/>
  <c r="F43" i="1"/>
  <c r="K43" i="1" s="1"/>
  <c r="K41" i="1"/>
  <c r="F42" i="1"/>
  <c r="K42" i="1" s="1"/>
  <c r="L22" i="1"/>
  <c r="J31" i="1"/>
  <c r="J30" i="1"/>
  <c r="J28" i="1"/>
  <c r="K27" i="1"/>
  <c r="K24" i="1"/>
  <c r="J21" i="1"/>
  <c r="M21" i="1" s="1"/>
  <c r="I3" i="6" s="1"/>
  <c r="J24" i="1"/>
  <c r="J25" i="1"/>
  <c r="J27" i="1"/>
  <c r="M24" i="1" l="1"/>
  <c r="D8" i="6"/>
  <c r="D11" i="6" s="1"/>
  <c r="E52" i="1"/>
  <c r="E54" i="1"/>
  <c r="E53" i="1"/>
  <c r="J33" i="1"/>
  <c r="G53" i="1" s="1"/>
  <c r="I33" i="1"/>
  <c r="G52" i="1" s="1"/>
  <c r="K33" i="1"/>
  <c r="G54" i="1" s="1"/>
  <c r="I4" i="6"/>
  <c r="M27" i="1"/>
  <c r="I5" i="6" s="1"/>
  <c r="K54" i="1" l="1"/>
  <c r="E73" i="1"/>
  <c r="H73" i="1" s="1"/>
  <c r="K52" i="1"/>
  <c r="E71" i="1"/>
  <c r="H71" i="1" s="1"/>
  <c r="K53" i="1"/>
  <c r="E72" i="1"/>
  <c r="H72" i="1" s="1"/>
  <c r="E58" i="1"/>
  <c r="E57" i="1"/>
  <c r="E56" i="1"/>
  <c r="E60" i="1"/>
  <c r="E61" i="1"/>
  <c r="E62" i="1"/>
  <c r="K35" i="1"/>
  <c r="G62" i="1" s="1"/>
  <c r="I35" i="1"/>
  <c r="G60" i="1" s="1"/>
  <c r="J35" i="1"/>
  <c r="G61" i="1" s="1"/>
  <c r="I34" i="1"/>
  <c r="G56" i="1" s="1"/>
  <c r="K34" i="1"/>
  <c r="G58" i="1" s="1"/>
  <c r="J34" i="1"/>
  <c r="G57" i="1" s="1"/>
  <c r="I71" i="1" l="1"/>
  <c r="J71" i="1" s="1"/>
  <c r="D3" i="6"/>
  <c r="K56" i="1"/>
  <c r="E76" i="1"/>
  <c r="H76" i="1" s="1"/>
  <c r="K61" i="1"/>
  <c r="E82" i="1"/>
  <c r="H82" i="1" s="1"/>
  <c r="K62" i="1"/>
  <c r="E83" i="1"/>
  <c r="H83" i="1" s="1"/>
  <c r="K60" i="1"/>
  <c r="E81" i="1"/>
  <c r="H81" i="1" s="1"/>
  <c r="K57" i="1"/>
  <c r="E77" i="1"/>
  <c r="H77" i="1" s="1"/>
  <c r="K58" i="1"/>
  <c r="E78" i="1"/>
  <c r="H78" i="1" s="1"/>
  <c r="G190" i="1"/>
  <c r="G187" i="1"/>
  <c r="G184" i="1"/>
  <c r="E116" i="1"/>
  <c r="I76" i="1" l="1"/>
  <c r="J76" i="1" s="1"/>
  <c r="D4" i="6"/>
  <c r="I81" i="1"/>
  <c r="J81" i="1" s="1"/>
  <c r="D5" i="6"/>
  <c r="E165" i="1"/>
  <c r="E160" i="1"/>
  <c r="E159" i="1"/>
  <c r="E158" i="1"/>
  <c r="E155" i="1"/>
  <c r="E154" i="1"/>
  <c r="M71" i="1" l="1"/>
  <c r="K71" i="1"/>
  <c r="D6" i="6"/>
  <c r="I7" i="6" l="1"/>
  <c r="E86" i="1"/>
  <c r="K86" i="1" s="1"/>
  <c r="D13" i="6" s="1"/>
  <c r="I8" i="6"/>
  <c r="E164" i="1"/>
  <c r="D14" i="6" l="1"/>
  <c r="E197" i="1"/>
  <c r="E198" i="1"/>
  <c r="J189" i="1"/>
  <c r="K116" i="1" l="1"/>
  <c r="K179" i="1"/>
  <c r="K218" i="1" l="1"/>
  <c r="K132" i="1"/>
  <c r="G138" i="1"/>
  <c r="K138" i="1" s="1"/>
  <c r="K142" i="1"/>
  <c r="G144" i="1"/>
  <c r="E115" i="1"/>
  <c r="K115" i="1" s="1"/>
  <c r="K106" i="1"/>
  <c r="K212" i="1"/>
  <c r="K211" i="1"/>
  <c r="K210" i="1"/>
  <c r="K209" i="1"/>
  <c r="K208" i="1"/>
  <c r="K125" i="1"/>
  <c r="K110" i="1"/>
  <c r="K107" i="1"/>
  <c r="K105" i="1" l="1"/>
  <c r="K160" i="1" l="1"/>
  <c r="K159" i="1"/>
  <c r="K158" i="1"/>
  <c r="M161" i="1" l="1"/>
  <c r="K216" i="1"/>
  <c r="I184" i="1" l="1"/>
  <c r="K128" i="1" l="1"/>
  <c r="E117" i="1" l="1"/>
  <c r="K117" i="1" s="1"/>
  <c r="G194" i="1" l="1"/>
  <c r="G193" i="1"/>
  <c r="H193" i="1" s="1"/>
  <c r="I193" i="1" l="1"/>
  <c r="K193" i="1" s="1"/>
  <c r="K103" i="1" l="1"/>
  <c r="K102" i="1"/>
  <c r="K130" i="1" l="1"/>
  <c r="K129" i="1" l="1"/>
  <c r="G145" i="1" l="1"/>
  <c r="K145" i="1" s="1"/>
  <c r="K144" i="1"/>
  <c r="K133" i="1"/>
  <c r="K149" i="1"/>
  <c r="K148" i="1"/>
  <c r="K147" i="1"/>
  <c r="K141" i="1"/>
  <c r="K140" i="1"/>
  <c r="K139" i="1"/>
  <c r="K137" i="1"/>
  <c r="K136" i="1"/>
  <c r="K134" i="1"/>
  <c r="M150" i="1" l="1"/>
  <c r="K118" i="1"/>
  <c r="K119" i="1" l="1"/>
  <c r="M122" i="1" s="1"/>
  <c r="K112" i="1" l="1"/>
  <c r="J186" i="1"/>
  <c r="J183" i="1"/>
  <c r="K205" i="1" l="1"/>
  <c r="H205" i="1"/>
  <c r="K204" i="1" l="1"/>
  <c r="K203" i="1"/>
  <c r="K155" i="1" l="1"/>
  <c r="K198" i="1" l="1"/>
  <c r="K215" i="1" l="1"/>
  <c r="K197" i="1" l="1"/>
  <c r="M199" i="1" s="1"/>
  <c r="I4" i="4"/>
  <c r="I5" i="4"/>
  <c r="I3" i="4"/>
  <c r="G183" i="1" l="1"/>
  <c r="I183" i="1" s="1"/>
  <c r="K183" i="1" s="1"/>
  <c r="K166" i="1" l="1"/>
  <c r="K165" i="1"/>
  <c r="K164" i="1"/>
  <c r="M167" i="1" l="1"/>
  <c r="K111" i="1"/>
  <c r="M113" i="1" s="1"/>
  <c r="K178" i="1"/>
  <c r="K177" i="1"/>
  <c r="M108" i="1" l="1"/>
  <c r="D16" i="6" s="1"/>
  <c r="D17" i="6" s="1"/>
  <c r="K154" i="1"/>
  <c r="M156" i="1" s="1"/>
  <c r="I194" i="1"/>
  <c r="I190" i="1"/>
  <c r="G189" i="1"/>
  <c r="I189" i="1" s="1"/>
  <c r="I187" i="1"/>
  <c r="G186" i="1"/>
  <c r="I186" i="1" s="1"/>
  <c r="K189" i="1" l="1"/>
  <c r="K186" i="1"/>
  <c r="H194" i="1"/>
  <c r="K194" i="1" l="1"/>
  <c r="K217" i="1"/>
  <c r="M219" i="1" s="1"/>
  <c r="D22" i="6" s="1"/>
  <c r="D23" i="6" s="1"/>
  <c r="K170" i="1"/>
  <c r="K171" i="1"/>
  <c r="K172" i="1"/>
  <c r="K173" i="1"/>
  <c r="K174" i="1"/>
  <c r="K175" i="1"/>
  <c r="M180" i="1" l="1"/>
  <c r="D19" i="6" s="1"/>
  <c r="D20" i="6" s="1"/>
  <c r="E24" i="6" s="1"/>
  <c r="E26" i="6" s="1"/>
  <c r="E28" i="6" l="1"/>
  <c r="E30" i="6"/>
  <c r="E32" i="6" l="1"/>
</calcChain>
</file>

<file path=xl/sharedStrings.xml><?xml version="1.0" encoding="utf-8"?>
<sst xmlns="http://schemas.openxmlformats.org/spreadsheetml/2006/main" count="835" uniqueCount="375">
  <si>
    <t>Draft YG-EMR Reclamation Bond Calculator</t>
  </si>
  <si>
    <t>Version 4.0</t>
  </si>
  <si>
    <t>P.Audet | EDI Environmental Dynamics Inc.</t>
  </si>
  <si>
    <t>EDI Proj # 17Y0442</t>
  </si>
  <si>
    <t>Project name:</t>
  </si>
  <si>
    <t>Project summary notes</t>
  </si>
  <si>
    <t xml:space="preserve">Proponent: </t>
  </si>
  <si>
    <t>Permit #:</t>
  </si>
  <si>
    <t>Proponent file #:</t>
  </si>
  <si>
    <t>Activity / Class:</t>
  </si>
  <si>
    <t>YG-EMR personnel:</t>
  </si>
  <si>
    <t>Date:</t>
  </si>
  <si>
    <t>1-  Project features and dimensions</t>
  </si>
  <si>
    <t>Notes/Assumptions</t>
  </si>
  <si>
    <t>Travel/Distances</t>
  </si>
  <si>
    <t>One-way (km)</t>
  </si>
  <si>
    <t>Round-trip (km)</t>
  </si>
  <si>
    <t>Ground-access</t>
  </si>
  <si>
    <t>Fly-in access</t>
  </si>
  <si>
    <t>Remote access (Heli)</t>
  </si>
  <si>
    <t>a</t>
  </si>
  <si>
    <t>To/From (Ground)</t>
  </si>
  <si>
    <t>Y/N</t>
  </si>
  <si>
    <t>b</t>
  </si>
  <si>
    <t xml:space="preserve"> To/From (Air/Heli)</t>
  </si>
  <si>
    <t>Project features</t>
  </si>
  <si>
    <t>Name/ID</t>
  </si>
  <si>
    <t>Length (m)</t>
  </si>
  <si>
    <t>Width (m)</t>
  </si>
  <si>
    <t>Quantity</t>
  </si>
  <si>
    <t>Area (m2)</t>
  </si>
  <si>
    <t>Area (ha)</t>
  </si>
  <si>
    <t>Total area (m2)</t>
  </si>
  <si>
    <t>Total area (ha)</t>
  </si>
  <si>
    <t>Access roads</t>
  </si>
  <si>
    <t>1-New cut</t>
  </si>
  <si>
    <t>&lt;Optional&gt;</t>
  </si>
  <si>
    <t>2-Partial new cut</t>
  </si>
  <si>
    <t>Clearings</t>
  </si>
  <si>
    <t>c</t>
  </si>
  <si>
    <t>Project components</t>
  </si>
  <si>
    <t>Reclamation atandard/expectation</t>
  </si>
  <si>
    <t>% Decom.</t>
  </si>
  <si>
    <t xml:space="preserve">% Partial reclamation </t>
  </si>
  <si>
    <t>% Full reclamation</t>
  </si>
  <si>
    <t>Decommision (ha)</t>
  </si>
  <si>
    <t>Partial reclamation (ha)</t>
  </si>
  <si>
    <t>Full reclamation (ha)</t>
  </si>
  <si>
    <t>m2</t>
  </si>
  <si>
    <t>= 100%</t>
  </si>
  <si>
    <t xml:space="preserve">Decommission = Lite recontouring and roll back, ESC (where necessary) </t>
  </si>
  <si>
    <t>Partial reclamation = Partial recountouring and roll-back, ESC (where necessary)</t>
  </si>
  <si>
    <t>Full reclamation = Comprehensive recontouring and roll-back</t>
  </si>
  <si>
    <t>2-  General Reclamation Activities (Basic)</t>
  </si>
  <si>
    <t>Mobilization/Demobilization</t>
  </si>
  <si>
    <t># Equipement (E.g., 1 excavator + 1 dozer = 2)</t>
  </si>
  <si>
    <t>Total distance (km)</t>
  </si>
  <si>
    <t>Rate of travel (km/h)</t>
  </si>
  <si>
    <t>Effort (h)</t>
  </si>
  <si>
    <t>Calculated value</t>
  </si>
  <si>
    <t>Quoted value</t>
  </si>
  <si>
    <t>Ground-travel</t>
  </si>
  <si>
    <t>Yes=1, No=0</t>
  </si>
  <si>
    <t>Quantity (h)</t>
  </si>
  <si>
    <t>Rate ($/h)</t>
  </si>
  <si>
    <t>1-Lowbed</t>
  </si>
  <si>
    <t>2-Pilot car</t>
  </si>
  <si>
    <t>3-Other support car</t>
  </si>
  <si>
    <t>4-Specialized travel (Request quote)</t>
  </si>
  <si>
    <t>****</t>
  </si>
  <si>
    <t># Return trips</t>
  </si>
  <si>
    <t>Heli-travel</t>
  </si>
  <si>
    <t>1-Heli transfers</t>
  </si>
  <si>
    <t>Air travel</t>
  </si>
  <si>
    <t>Request quote</t>
  </si>
  <si>
    <t>General reclamation earthworks</t>
  </si>
  <si>
    <t>% Area</t>
  </si>
  <si>
    <t>Total area</t>
  </si>
  <si>
    <t>Unit</t>
  </si>
  <si>
    <t>Rate</t>
  </si>
  <si>
    <t xml:space="preserve">1-Decommission </t>
  </si>
  <si>
    <t>$/ha</t>
  </si>
  <si>
    <t>2-Partial reclamation</t>
  </si>
  <si>
    <t>3-Full reclamation</t>
  </si>
  <si>
    <t>2-Partial Reclamation</t>
  </si>
  <si>
    <t>3-Full Reclamation</t>
  </si>
  <si>
    <t>3-  Personnel (Basic disbursements)</t>
  </si>
  <si>
    <t>Project area</t>
  </si>
  <si>
    <t>Total (h)</t>
  </si>
  <si>
    <t>Total (days) - Rounded up</t>
  </si>
  <si>
    <t>Total (days) - All activities</t>
  </si>
  <si>
    <t>Total (h) - All activities</t>
  </si>
  <si>
    <t>Decommission</t>
  </si>
  <si>
    <t>Hour/Hectare</t>
  </si>
  <si>
    <t>Partial reclamation</t>
  </si>
  <si>
    <t>Full reclamation</t>
  </si>
  <si>
    <t>Personnel disbursements</t>
  </si>
  <si>
    <t>Rate ($/h, $/day)</t>
  </si>
  <si>
    <t>Accommodations and subsistence</t>
  </si>
  <si>
    <t>Day</t>
  </si>
  <si>
    <t>4-  Asset removal and specific reclamation features</t>
  </si>
  <si>
    <t>Asset/Debris removal</t>
  </si>
  <si>
    <t>Rate ($/unit)</t>
  </si>
  <si>
    <t>Equipment Removal</t>
  </si>
  <si>
    <t>Hour</t>
  </si>
  <si>
    <t>Include total round trip hours for lowbed</t>
  </si>
  <si>
    <t>Shipping Containers</t>
  </si>
  <si>
    <t>Include round trip hours for trucking</t>
  </si>
  <si>
    <t>Scrap/Garbage</t>
  </si>
  <si>
    <t>d</t>
  </si>
  <si>
    <t>Camp (Tent/Camper Trailer)</t>
  </si>
  <si>
    <t>Total</t>
  </si>
  <si>
    <t>e</t>
  </si>
  <si>
    <t>Removal Crew</t>
  </si>
  <si>
    <t>f</t>
  </si>
  <si>
    <t>Explosives Disposal</t>
  </si>
  <si>
    <t xml:space="preserve">Requires project specific cost estimate </t>
  </si>
  <si>
    <t>g</t>
  </si>
  <si>
    <t>Camp (Modular Trailer/Bunk House)</t>
  </si>
  <si>
    <t>1-Trailer Prep for Transport</t>
  </si>
  <si>
    <t># of Trailers</t>
  </si>
  <si>
    <t>2-Trucking</t>
  </si>
  <si>
    <t>Include total round trip hours for trucking</t>
  </si>
  <si>
    <t xml:space="preserve">3-Pilot Car </t>
  </si>
  <si>
    <t>Include total round trip hours for Hwy travel</t>
  </si>
  <si>
    <t>h</t>
  </si>
  <si>
    <t>Equipment for Cleanup Activities</t>
  </si>
  <si>
    <t>1-Excavator</t>
  </si>
  <si>
    <t>2-Dozer</t>
  </si>
  <si>
    <t>i</t>
  </si>
  <si>
    <t>Disposal</t>
  </si>
  <si>
    <t>1-Waste disposal tipping fee</t>
  </si>
  <si>
    <t>Tonne</t>
  </si>
  <si>
    <t>2-Camper Trailer Disposal</t>
  </si>
  <si>
    <t>3-Modular Trailer Disposal</t>
  </si>
  <si>
    <t xml:space="preserve">Fuel/Hydrocarbon removal </t>
  </si>
  <si>
    <t xml:space="preserve">Fuel Drum/Tidy Tank/Lubricant Storage  </t>
  </si>
  <si>
    <t xml:space="preserve">Large Fuel Tank Storage </t>
  </si>
  <si>
    <t>Include round trip hours for transport truck</t>
  </si>
  <si>
    <t>Soil Remediation</t>
  </si>
  <si>
    <t>m3</t>
  </si>
  <si>
    <t>Ground based exploration activities</t>
  </si>
  <si>
    <t>Depth (m)</t>
  </si>
  <si>
    <t xml:space="preserve">Drill Site </t>
  </si>
  <si>
    <t>ha</t>
  </si>
  <si>
    <t xml:space="preserve">Large Gravel Pads </t>
  </si>
  <si>
    <t xml:space="preserve">Trench </t>
  </si>
  <si>
    <t>Sealing  Exploration Drill Holes</t>
  </si>
  <si>
    <t># Holes</t>
  </si>
  <si>
    <t>Sealing  Drill Holes based on meter</t>
  </si>
  <si>
    <t>m</t>
  </si>
  <si>
    <t>Sealing openings/adits</t>
  </si>
  <si>
    <t>Waste Dumps</t>
  </si>
  <si>
    <t>Helicopter based exploration activities</t>
  </si>
  <si>
    <t xml:space="preserve">Helicopter Staging </t>
  </si>
  <si>
    <t>1-Distance to staging area</t>
  </si>
  <si>
    <t>km</t>
  </si>
  <si>
    <t>Base rate ($2100)</t>
  </si>
  <si>
    <t>2-Distance from staging area to site</t>
  </si>
  <si>
    <t xml:space="preserve">Distance used in calculations below </t>
  </si>
  <si>
    <t>Crew Staging</t>
  </si>
  <si>
    <t>1-Vehicle mileage to staging area</t>
  </si>
  <si>
    <t>2-Meals &amp; Accoms (Hotel/Trailer Camp)</t>
  </si>
  <si>
    <t>Day/Person</t>
  </si>
  <si>
    <t>3-Meals &amp;Accom (Tent Camp)</t>
  </si>
  <si>
    <t>Heli pads</t>
  </si>
  <si>
    <t>1-Disassembly of heli pads</t>
  </si>
  <si>
    <t># Sites</t>
  </si>
  <si>
    <t>2-Caching of timbers</t>
  </si>
  <si>
    <t>3-Burning small debris</t>
  </si>
  <si>
    <t>Drill pads</t>
  </si>
  <si>
    <t>1-Disassembly (small structure)</t>
  </si>
  <si>
    <t>Sites</t>
  </si>
  <si>
    <t>2-Disassembly (large structure)</t>
  </si>
  <si>
    <t>3-Sealing  Exploration Drill Holes</t>
  </si>
  <si>
    <t>Formula includes distance from staging area to site</t>
  </si>
  <si>
    <t>4-Caching of timbers (small structure)</t>
  </si>
  <si>
    <t>5-Caching of timbers (large structure)</t>
  </si>
  <si>
    <t>6-Burning small debris</t>
  </si>
  <si>
    <t xml:space="preserve">7-Removal of non-wooden debris </t>
  </si>
  <si>
    <t>Fuel barrels</t>
  </si>
  <si>
    <t>1-Removal of full barrels off-site</t>
  </si>
  <si>
    <t>Barrels</t>
  </si>
  <si>
    <t>2-Removal of empty barrels off-site</t>
  </si>
  <si>
    <t>Camp Removal</t>
  </si>
  <si>
    <t>1-Burning tent pads</t>
  </si>
  <si>
    <t># Pads</t>
  </si>
  <si>
    <t>2-Disassembly of buildings</t>
  </si>
  <si>
    <t># Buildings</t>
  </si>
  <si>
    <t>3-Burning derelict buildings</t>
  </si>
  <si>
    <t>5-  Supplemental earthworks, surface preparation, water courses and revegetation</t>
  </si>
  <si>
    <t>General reclamation earthworks (Exploration and placer activities/features)</t>
  </si>
  <si>
    <t>Surface recontouring (heavy earthworks)</t>
  </si>
  <si>
    <t>Inferred - Refer to Calculation Notes</t>
  </si>
  <si>
    <t>Assuming medium sized dozer (CAT D8) productivity of 200 m3/hr = 1 ha in 25 hr moving an ave depth of material 0.5 m.  Rate of $262/hr</t>
  </si>
  <si>
    <t>Topsoil Placement/Preparation (finishing earthworks)</t>
  </si>
  <si>
    <t>Surface preparation</t>
  </si>
  <si>
    <t>Rate ($/Unit)</t>
  </si>
  <si>
    <t>Dozer-Ripper (Decompaction)</t>
  </si>
  <si>
    <t>Tractor (Harrowing/Surface Prep)</t>
  </si>
  <si>
    <t>Modified from MEM 2003</t>
  </si>
  <si>
    <t>Excavator (Rough and Loose Surface Prep)</t>
  </si>
  <si>
    <t>Assumed average productivity of .25 ha/hr. Equipment productivity 0.15 to 0.35 ha/hr (Source: MOF Silviculture Manual 1999). Assumed medium size excavator at $143/hr</t>
  </si>
  <si>
    <t xml:space="preserve">Supplemental topsoil </t>
  </si>
  <si>
    <t>Topsoil</t>
  </si>
  <si>
    <t>1 dump truck is 8 m3</t>
  </si>
  <si>
    <t>Caution with sourcing of topsoil, want to avoid the spread of invasive species</t>
  </si>
  <si>
    <t>1-Total Volume (m3)</t>
  </si>
  <si>
    <t>Inferred - Request Quote</t>
  </si>
  <si>
    <t>2-Total Area (ha)</t>
  </si>
  <si>
    <t>Based on a topsoil depth of 30 cm</t>
  </si>
  <si>
    <t xml:space="preserve">Travel </t>
  </si>
  <si>
    <t>hr</t>
  </si>
  <si>
    <t>Note: Did not provide costs for other soils amendments (e.g., biochar, biosolids)</t>
  </si>
  <si>
    <t>Stream crossing and steam restoration</t>
  </si>
  <si>
    <t>Bridges (removal &amp; transport)</t>
  </si>
  <si>
    <t>1-Width 6-9m</t>
  </si>
  <si>
    <t># of Bridges</t>
  </si>
  <si>
    <t>Quoted</t>
  </si>
  <si>
    <t>2-Width 9m-12m</t>
  </si>
  <si>
    <t>3-Width 12m-15m</t>
  </si>
  <si>
    <t>4-Width 15m-18m</t>
  </si>
  <si>
    <t>5-Width 18m-21m</t>
  </si>
  <si>
    <t>6-Width 21m-24m</t>
  </si>
  <si>
    <t xml:space="preserve">Stream Culvert Removal </t>
  </si>
  <si>
    <t>1-Non-Fish Bearing</t>
  </si>
  <si>
    <t># of Culverts</t>
  </si>
  <si>
    <t>Request Quote / Assessment of Env't Risk</t>
  </si>
  <si>
    <t xml:space="preserve"> Site isolation, fish salvage, excavation of road surface, reconstruction of streambed (requires clean gravel/cobble material, erosion control). Cost based on conversation with FLNRO contact. Actual cost may vary</t>
  </si>
  <si>
    <t>2-Fish Bearing</t>
  </si>
  <si>
    <t>Stream Restoration</t>
  </si>
  <si>
    <t>Revegetation - Seeding</t>
  </si>
  <si>
    <t>Application rate (kg/ha)</t>
  </si>
  <si>
    <t>No. of Kg.</t>
  </si>
  <si>
    <t>Material Cost ($/kg)</t>
  </si>
  <si>
    <t>Material cost ($/ha)</t>
  </si>
  <si>
    <t>Appl. cost ($/ha)</t>
  </si>
  <si>
    <t>Hand Broadcast</t>
  </si>
  <si>
    <t xml:space="preserve"> </t>
  </si>
  <si>
    <t>1-Seed</t>
  </si>
  <si>
    <t>Combined Cost / Request Quote / Variable Rates &amp; Seed Stock Availability</t>
  </si>
  <si>
    <t>For erosion control 15-30 kg/ha, for seeding to allow for tree growth light seeding 4-6 kg/ha (NEIPC 2010)</t>
  </si>
  <si>
    <t>2-Fertilizer</t>
  </si>
  <si>
    <t>One person = 1 ha/day  $40/hr for 10 hr</t>
  </si>
  <si>
    <t>ATV Broadcast</t>
  </si>
  <si>
    <t>Aerial Broadcast</t>
  </si>
  <si>
    <t>Revegetation - Planting</t>
  </si>
  <si>
    <t>Application rate (Stems/ha)</t>
  </si>
  <si>
    <t>No. of trees</t>
  </si>
  <si>
    <t>Seedling cost ($)</t>
  </si>
  <si>
    <t>Planting cost ($)</t>
  </si>
  <si>
    <t>Seedlings &amp; Tubestock Planting</t>
  </si>
  <si>
    <t>Request Quote / Variable Rates &amp; Seed Stock Availability</t>
  </si>
  <si>
    <t>$0.5 trees, $1.00 to plant  Tree prices vary greatly depending on plug size and grower</t>
  </si>
  <si>
    <t>Fertilizer</t>
  </si>
  <si>
    <t>Request Quote / Variable Rates Depending on Performance Requirements</t>
  </si>
  <si>
    <t xml:space="preserve"> $0.07/Tea bag, $0.20 to plant</t>
  </si>
  <si>
    <t>Additional revegetation activities</t>
  </si>
  <si>
    <t>Hydroseeding</t>
  </si>
  <si>
    <t>Request Quote</t>
  </si>
  <si>
    <t>Greater application rate for hydroseeding (NEIPC 2010)</t>
  </si>
  <si>
    <t>Price based on quotes and represents mid to high range</t>
  </si>
  <si>
    <t xml:space="preserve">Bioengineering (live planting) </t>
  </si>
  <si>
    <t>Based on US Army Corps of Engineers(1999)  person hour production rates. Assumes 66 cuttings/person hour and planting 100 stems/hr. Labour rate $40/hr.  1 m live stake spacing.</t>
  </si>
  <si>
    <t>6-  Reclamation planning and monitoring</t>
  </si>
  <si>
    <t>Monitoring services</t>
  </si>
  <si>
    <t>Number of expected visits</t>
  </si>
  <si>
    <t>Total ($/unit/visit)</t>
  </si>
  <si>
    <t>Equipment cost</t>
  </si>
  <si>
    <t>Day rate</t>
  </si>
  <si>
    <t>Vegetation Monitoring</t>
  </si>
  <si>
    <t xml:space="preserve">Monitoring costs can be variable depending on factors such as speed of recovery, and number of site visits. Minimum of one site visit, but recommend three (Year 1, Year 3, Year 5). Price is based on qualified professional assessing vegetation </t>
  </si>
  <si>
    <t xml:space="preserve">Geotechnical and/or Ground-Water </t>
  </si>
  <si>
    <t xml:space="preserve">This cost can be highly variable depending on location and complexity of site.  Price based on $180/hr for 10 hr site visit, plus 10 hrs of data management/report time as well as disbursements (e.g.. vehicle and survey equipment).  Price does not include instrumentation install. </t>
  </si>
  <si>
    <t xml:space="preserve">Surface Water Quality/ARD </t>
  </si>
  <si>
    <t xml:space="preserve">Assumes $500/site for lab costs (e.g . general parameters, total and dissolved metals), plus day rate for technician to collect samples, and travel to and from site.  Actual price will vary depending on program, project location, and efficiencies with additional samples. </t>
  </si>
  <si>
    <t>Reclamation planning and assessment services</t>
  </si>
  <si>
    <t>Reclamation Plan</t>
  </si>
  <si>
    <t>Plan/Report</t>
  </si>
  <si>
    <t>Cost for a qualified professional to conduct a site visit, assess existing site conditions, and prepare a reclamation plan.  For complex or remote sites, the cost for a plan will be higher (e.g. $10,000)</t>
  </si>
  <si>
    <t>Geotechnical Assessment</t>
  </si>
  <si>
    <t>Cost for a qualified professional to conduct a site visit, assess existing site conditions, and prepare a geotechnical report with proposed mitigation measures.  For complex or remote sites, the cost for a plan will be higher (e.g.$10,000)</t>
  </si>
  <si>
    <t xml:space="preserve">Soil Remediation Investigation </t>
  </si>
  <si>
    <t>Cost for a qualified professional to conduct a site visit, lab analyses, and assessment report. Price includes excavator for 10 hr day.</t>
  </si>
  <si>
    <t>Ground Water Investigation</t>
  </si>
  <si>
    <t>Hazardous Materials Assessment</t>
  </si>
  <si>
    <t>Cost for a qualified professional to conduct a site visit, assess materials left on site, identify potential areas of contamination, and prepare a report.  For complex or remote sites, the cost for a plan will be higher (e.g. $8,000)</t>
  </si>
  <si>
    <t>Miscellaneous</t>
  </si>
  <si>
    <t>Accommodation &amp; Subsistence</t>
  </si>
  <si>
    <t>Vehicle Mileage</t>
  </si>
  <si>
    <t>Helicopter Access/Support</t>
  </si>
  <si>
    <t>Astar are becoming industry standard (includes fuel). Rates for other helicopters in "Rate Sheet" tab.</t>
  </si>
  <si>
    <t xml:space="preserve">Airplane </t>
  </si>
  <si>
    <t>Cost summary</t>
  </si>
  <si>
    <t>1-  Reclamation earthworks</t>
  </si>
  <si>
    <t>Total project area</t>
  </si>
  <si>
    <t>2-  Mobilization/Demobilization</t>
  </si>
  <si>
    <t>Total time/effort</t>
  </si>
  <si>
    <t>Ground travel</t>
  </si>
  <si>
    <t>days</t>
  </si>
  <si>
    <t>Heli travel</t>
  </si>
  <si>
    <t>3-  Personnel</t>
  </si>
  <si>
    <t>Disbursements</t>
  </si>
  <si>
    <t>4-  Asset removal</t>
  </si>
  <si>
    <t>5-  Supplemental earthworks,surface preperation, watercourses and revegetation</t>
  </si>
  <si>
    <t>6-  Planning and monitoring</t>
  </si>
  <si>
    <t>Grand subtotal</t>
  </si>
  <si>
    <t>Cost adjustments</t>
  </si>
  <si>
    <t>Prjt mgt (10%)</t>
  </si>
  <si>
    <t>Uncertainty (10%)</t>
  </si>
  <si>
    <t>Grand total</t>
  </si>
  <si>
    <t>Heavy equipment rates</t>
  </si>
  <si>
    <t>Helicopter rates</t>
  </si>
  <si>
    <t>Equipment type</t>
  </si>
  <si>
    <t>Equipment rates/hr</t>
  </si>
  <si>
    <t xml:space="preserve">Productive/Capacity </t>
  </si>
  <si>
    <t>Comments</t>
  </si>
  <si>
    <t xml:space="preserve">Helicopter </t>
  </si>
  <si>
    <t>Rate/hr</t>
  </si>
  <si>
    <t>Fuel $/hr</t>
  </si>
  <si>
    <t>Total $/hr</t>
  </si>
  <si>
    <t>Dozers - Uses include ripping, contouring, spreading material</t>
  </si>
  <si>
    <t xml:space="preserve">Bell 206 Jet Ranger </t>
  </si>
  <si>
    <t>Class 4 (130-189.9 FWHP)</t>
  </si>
  <si>
    <t>Move 120 m3/hr*</t>
  </si>
  <si>
    <t>Small to medium sized machine (e.g. Cat D6)</t>
  </si>
  <si>
    <t>Bell 206 Long Ranger</t>
  </si>
  <si>
    <t>Class 5 (190-259.9 FWHP)</t>
  </si>
  <si>
    <t>Move 150 m3/hr*</t>
  </si>
  <si>
    <t>Medium sized machine (e.g. Cat D7)</t>
  </si>
  <si>
    <t>A-Star B4</t>
  </si>
  <si>
    <t>Class 6 (260-359.9 FWHP)</t>
  </si>
  <si>
    <t>Move 200 m3/hr*</t>
  </si>
  <si>
    <t>Medium sized machine (e.g. Cat D8)</t>
  </si>
  <si>
    <t>Class 7 (360-519.9 FWHP)</t>
  </si>
  <si>
    <t>Move 270 m3/hr*</t>
  </si>
  <si>
    <t>Large sized machine (e.g. Cat D9)</t>
  </si>
  <si>
    <t>Excavators - Uses include site prep, infilling ponds/pits/trenches, road deactivation, road pullback, stream crossing removal</t>
  </si>
  <si>
    <t>Class 1 (Under 32,000 Lbs)</t>
  </si>
  <si>
    <t>$100-150</t>
  </si>
  <si>
    <t>-</t>
  </si>
  <si>
    <t>Mini-small sized machine</t>
  </si>
  <si>
    <t>Class 2 (32,000-41,999 Lbs)</t>
  </si>
  <si>
    <t>Small sized machine</t>
  </si>
  <si>
    <t>Class 3 (42,000-44,999 Lbs)</t>
  </si>
  <si>
    <t>Class 4 (45,000-50,999 Lbs)</t>
  </si>
  <si>
    <t>Medium sized machine</t>
  </si>
  <si>
    <t>Class 5 (51,000-58,999 Lbs)</t>
  </si>
  <si>
    <t>Move 170 m3/hr*</t>
  </si>
  <si>
    <t>Class 6 (59,000-67,999 Lbs)</t>
  </si>
  <si>
    <t>Class 7 (68,000-87,999 Lbs)</t>
  </si>
  <si>
    <t>Move 210 m3/hr*</t>
  </si>
  <si>
    <t>Class 8 (88,000-95,999 Lbs)</t>
  </si>
  <si>
    <t>Large sized machine</t>
  </si>
  <si>
    <t>Grader (Uses include ripping work)</t>
  </si>
  <si>
    <t>Class 6 (220-249 FWHP)</t>
  </si>
  <si>
    <t>Rip 1500 m of  access road/day (5-8 m wide)*</t>
  </si>
  <si>
    <t>Dump trucks</t>
  </si>
  <si>
    <t xml:space="preserve">Standard hwy truck </t>
  </si>
  <si>
    <t>8 m3/load</t>
  </si>
  <si>
    <t>Typical hwy rated dump truck</t>
  </si>
  <si>
    <t>Trailer with end dump</t>
  </si>
  <si>
    <t>15 m3/load</t>
  </si>
  <si>
    <t>Hwy rated truck</t>
  </si>
  <si>
    <t>Off hwy truck</t>
  </si>
  <si>
    <t>17 m3/load</t>
  </si>
  <si>
    <t>Off Hwy articulated rock/dump truck</t>
  </si>
  <si>
    <t>Notes:</t>
  </si>
  <si>
    <t>Average equipment rates based on 2017-18 YG Third Party Reference Guide</t>
  </si>
  <si>
    <t>Equipment classes based on BC Blue Book system/ Adapted to 2017-18 YG Third Party Reference Guide</t>
  </si>
  <si>
    <t>Classes shown in table represent common sized machines</t>
  </si>
  <si>
    <t>Actual contractor rates may be up to 30% more depending on location.</t>
  </si>
  <si>
    <t>Rates include operator</t>
  </si>
  <si>
    <t>FWHP = Fly wheel horsepower</t>
  </si>
  <si>
    <t>*Productivity values based on MEM 2003. Note: Production can vary greatly depending on site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</si>
</sst>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quot;$&quot;#,##0"/>
    <numFmt numFmtId="166" formatCode="&quot;$&quot;#,##0.00"/>
    <numFmt numFmtId="167" formatCode="[$-409]d\-mmm\-yy;@"/>
  </numFmts>
  <fonts count="21">
    <font>
      <sz val="11"/>
      <color theme="1"/>
      <name val="Calibri"/>
      <family val="2"/>
      <scheme val="minor"/>
    </font>
    <font>
      <b/>
      <sz val="12"/>
      <color theme="1"/>
      <name val="Calibri"/>
      <family val="2"/>
      <scheme val="minor"/>
    </font>
    <font>
      <sz val="10"/>
      <color theme="1"/>
      <name val="Calibri"/>
      <family val="2"/>
      <scheme val="minor"/>
    </font>
    <font>
      <u/>
      <sz val="10"/>
      <color theme="1"/>
      <name val="Calibri"/>
      <family val="2"/>
      <scheme val="minor"/>
    </font>
    <font>
      <b/>
      <sz val="11"/>
      <color theme="1"/>
      <name val="Calibri"/>
      <family val="2"/>
      <scheme val="minor"/>
    </font>
    <font>
      <sz val="9"/>
      <name val="Arial"/>
      <family val="2"/>
    </font>
    <font>
      <b/>
      <sz val="10"/>
      <color theme="1"/>
      <name val="Calibri"/>
      <family val="2"/>
      <scheme val="minor"/>
    </font>
    <font>
      <b/>
      <i/>
      <sz val="10"/>
      <color theme="1"/>
      <name val="Calibri"/>
      <family val="2"/>
      <scheme val="minor"/>
    </font>
    <font>
      <b/>
      <sz val="18"/>
      <color theme="1"/>
      <name val="Calibri"/>
      <family val="2"/>
      <scheme val="minor"/>
    </font>
    <font>
      <sz val="12"/>
      <color theme="1"/>
      <name val="Calibri"/>
      <family val="2"/>
      <scheme val="minor"/>
    </font>
    <font>
      <sz val="10"/>
      <name val="Calibri"/>
      <family val="2"/>
      <scheme val="minor"/>
    </font>
    <font>
      <b/>
      <sz val="10"/>
      <name val="Calibri"/>
      <family val="2"/>
      <scheme val="minor"/>
    </font>
    <font>
      <b/>
      <sz val="14"/>
      <color theme="1"/>
      <name val="Calibri"/>
      <family val="2"/>
      <scheme val="minor"/>
    </font>
    <font>
      <b/>
      <sz val="11"/>
      <color theme="0"/>
      <name val="Calibri"/>
      <family val="2"/>
      <scheme val="minor"/>
    </font>
    <font>
      <sz val="10"/>
      <color theme="4" tint="0.79998168889431442"/>
      <name val="Calibri"/>
      <family val="2"/>
      <scheme val="minor"/>
    </font>
    <font>
      <i/>
      <sz val="10"/>
      <color theme="1"/>
      <name val="Calibri"/>
      <family val="2"/>
      <scheme val="minor"/>
    </font>
    <font>
      <b/>
      <sz val="20"/>
      <color theme="0"/>
      <name val="Calibri"/>
      <family val="2"/>
      <scheme val="minor"/>
    </font>
    <font>
      <sz val="20"/>
      <color theme="1"/>
      <name val="Calibri"/>
      <family val="2"/>
      <scheme val="minor"/>
    </font>
    <font>
      <sz val="20"/>
      <color theme="0"/>
      <name val="Calibri"/>
      <family val="2"/>
      <scheme val="minor"/>
    </font>
    <font>
      <b/>
      <sz val="10"/>
      <color theme="0"/>
      <name val="Calibri"/>
      <family val="2"/>
      <scheme val="minor"/>
    </font>
    <font>
      <sz val="11"/>
      <color rgb="FF242424"/>
      <name val="Aptos Narrow"/>
      <charset val="1"/>
    </font>
  </fonts>
  <fills count="1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FFFF99"/>
        <bgColor indexed="64"/>
      </patternFill>
    </fill>
    <fill>
      <patternFill patternType="solid">
        <fgColor rgb="FF99FFCC"/>
        <bgColor indexed="64"/>
      </patternFill>
    </fill>
    <fill>
      <patternFill patternType="solid">
        <fgColor rgb="FFFFC000"/>
        <bgColor indexed="64"/>
      </patternFill>
    </fill>
    <fill>
      <patternFill patternType="solid">
        <fgColor theme="5" tint="0.59999389629810485"/>
        <bgColor indexed="64"/>
      </patternFill>
    </fill>
    <fill>
      <patternFill patternType="solid">
        <fgColor rgb="FFD3E5B5"/>
        <bgColor indexed="64"/>
      </patternFill>
    </fill>
    <fill>
      <patternFill patternType="solid">
        <fgColor theme="1"/>
        <bgColor indexed="64"/>
      </patternFill>
    </fill>
  </fills>
  <borders count="1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14996795556505021"/>
      </right>
      <top style="thin">
        <color indexed="64"/>
      </top>
      <bottom style="thin">
        <color indexed="64"/>
      </bottom>
      <diagonal/>
    </border>
    <border>
      <left/>
      <right style="medium">
        <color indexed="64"/>
      </right>
      <top style="thin">
        <color indexed="64"/>
      </top>
      <bottom style="thin">
        <color indexed="64"/>
      </bottom>
      <diagonal/>
    </border>
    <border>
      <left style="thin">
        <color theme="0" tint="-0.14996795556505021"/>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medium">
        <color indexed="64"/>
      </left>
      <right style="thin">
        <color indexed="64"/>
      </right>
      <top style="medium">
        <color indexed="64"/>
      </top>
      <bottom style="thin">
        <color indexed="64"/>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thin">
        <color indexed="64"/>
      </left>
      <right/>
      <top style="thin">
        <color theme="0" tint="-0.24994659260841701"/>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right/>
      <top style="thin">
        <color indexed="64"/>
      </top>
      <bottom style="thin">
        <color theme="0" tint="-0.24994659260841701"/>
      </bottom>
      <diagonal/>
    </border>
    <border>
      <left/>
      <right/>
      <top style="thin">
        <color theme="0" tint="-0.24994659260841701"/>
      </top>
      <bottom style="thin">
        <color indexed="64"/>
      </bottom>
      <diagonal/>
    </border>
    <border>
      <left style="thin">
        <color indexed="64"/>
      </left>
      <right style="medium">
        <color indexed="64"/>
      </right>
      <top style="thin">
        <color indexed="64"/>
      </top>
      <bottom style="thin">
        <color theme="0" tint="-0.24994659260841701"/>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medium">
        <color indexed="64"/>
      </right>
      <top/>
      <bottom style="thin">
        <color theme="0" tint="-0.24994659260841701"/>
      </bottom>
      <diagonal/>
    </border>
    <border>
      <left/>
      <right/>
      <top/>
      <bottom style="thin">
        <color theme="0" tint="-0.24994659260841701"/>
      </bottom>
      <diagonal/>
    </border>
    <border>
      <left style="thin">
        <color indexed="64"/>
      </left>
      <right style="thin">
        <color indexed="64"/>
      </right>
      <top style="thin">
        <color theme="0" tint="-0.24994659260841701"/>
      </top>
      <bottom/>
      <diagonal/>
    </border>
    <border>
      <left/>
      <right style="medium">
        <color auto="1"/>
      </right>
      <top/>
      <bottom/>
      <diagonal/>
    </border>
    <border>
      <left style="medium">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style="thin">
        <color theme="0" tint="-0.24994659260841701"/>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theme="0" tint="-0.24994659260841701"/>
      </top>
      <bottom/>
      <diagonal/>
    </border>
    <border>
      <left style="thin">
        <color indexed="64"/>
      </left>
      <right style="thin">
        <color indexed="64"/>
      </right>
      <top style="thin">
        <color indexed="64"/>
      </top>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style="thin">
        <color indexed="64"/>
      </left>
      <right style="thin">
        <color indexed="64"/>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indexed="64"/>
      </right>
      <top style="thin">
        <color theme="0" tint="-0.14996795556505021"/>
      </top>
      <bottom style="thin">
        <color theme="0" tint="-0.24994659260841701"/>
      </bottom>
      <diagonal/>
    </border>
    <border>
      <left style="thin">
        <color indexed="64"/>
      </left>
      <right/>
      <top style="thin">
        <color theme="0" tint="-0.14996795556505021"/>
      </top>
      <bottom style="thin">
        <color theme="0" tint="-0.24994659260841701"/>
      </bottom>
      <diagonal/>
    </border>
    <border>
      <left style="medium">
        <color indexed="64"/>
      </left>
      <right/>
      <top/>
      <bottom style="thin">
        <color indexed="64"/>
      </bottom>
      <diagonal/>
    </border>
    <border>
      <left/>
      <right style="medium">
        <color indexed="64"/>
      </right>
      <top style="medium">
        <color indexed="64"/>
      </top>
      <bottom/>
      <diagonal/>
    </border>
    <border>
      <left/>
      <right/>
      <top style="thin">
        <color theme="0" tint="-0.14996795556505021"/>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style="thin">
        <color indexed="64"/>
      </bottom>
      <diagonal/>
    </border>
    <border>
      <left style="thin">
        <color indexed="64"/>
      </left>
      <right/>
      <top/>
      <bottom style="thin">
        <color theme="0" tint="-0.24994659260841701"/>
      </bottom>
      <diagonal/>
    </border>
    <border>
      <left style="medium">
        <color indexed="64"/>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style="medium">
        <color indexed="64"/>
      </right>
      <top style="medium">
        <color indexed="64"/>
      </top>
      <bottom style="thin">
        <color indexed="64"/>
      </bottom>
      <diagonal/>
    </border>
    <border>
      <left style="medium">
        <color indexed="64"/>
      </left>
      <right style="medium">
        <color indexed="64"/>
      </right>
      <top style="medium">
        <color theme="0" tint="-0.14996795556505021"/>
      </top>
      <bottom style="medium">
        <color theme="0" tint="-0.14996795556505021"/>
      </bottom>
      <diagonal/>
    </border>
    <border>
      <left style="medium">
        <color indexed="64"/>
      </left>
      <right style="medium">
        <color indexed="64"/>
      </right>
      <top/>
      <bottom style="medium">
        <color theme="0" tint="-0.14996795556505021"/>
      </bottom>
      <diagonal/>
    </border>
    <border>
      <left/>
      <right/>
      <top/>
      <bottom style="medium">
        <color theme="0" tint="-0.14996795556505021"/>
      </bottom>
      <diagonal/>
    </border>
    <border>
      <left/>
      <right style="medium">
        <color indexed="64"/>
      </right>
      <top style="medium">
        <color theme="0" tint="-0.14996795556505021"/>
      </top>
      <bottom style="medium">
        <color theme="0" tint="-0.14996795556505021"/>
      </bottom>
      <diagonal/>
    </border>
    <border>
      <left style="medium">
        <color indexed="64"/>
      </left>
      <right/>
      <top/>
      <bottom style="medium">
        <color theme="0" tint="-0.14996795556505021"/>
      </bottom>
      <diagonal/>
    </border>
    <border>
      <left/>
      <right style="medium">
        <color indexed="64"/>
      </right>
      <top/>
      <bottom style="medium">
        <color theme="0" tint="-0.1499679555650502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theme="0" tint="-0.24994659260841701"/>
      </top>
      <bottom style="thin">
        <color theme="0" tint="-0.1499679555650502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thin">
        <color indexed="64"/>
      </left>
      <right style="thin">
        <color indexed="64"/>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style="thin">
        <color theme="0" tint="-0.14996795556505021"/>
      </right>
      <top style="medium">
        <color indexed="64"/>
      </top>
      <bottom style="thin">
        <color indexed="64"/>
      </bottom>
      <diagonal/>
    </border>
    <border>
      <left style="thin">
        <color theme="0" tint="-0.14996795556505021"/>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theme="0" tint="-0.24994659260841701"/>
      </bottom>
      <diagonal/>
    </border>
    <border>
      <left style="thin">
        <color indexed="64"/>
      </left>
      <right style="medium">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medium">
        <color indexed="64"/>
      </top>
      <bottom/>
      <diagonal/>
    </border>
    <border>
      <left style="medium">
        <color indexed="64"/>
      </left>
      <right style="thin">
        <color theme="0" tint="-0.14993743705557422"/>
      </right>
      <top style="medium">
        <color indexed="64"/>
      </top>
      <bottom/>
      <diagonal/>
    </border>
    <border>
      <left style="thin">
        <color theme="0" tint="-0.14993743705557422"/>
      </left>
      <right style="thin">
        <color theme="0" tint="-0.14993743705557422"/>
      </right>
      <top style="medium">
        <color indexed="64"/>
      </top>
      <bottom/>
      <diagonal/>
    </border>
    <border>
      <left style="thin">
        <color theme="0" tint="-0.14993743705557422"/>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theme="0" tint="-0.14993743705557422"/>
      </right>
      <top style="medium">
        <color indexed="64"/>
      </top>
      <bottom style="medium">
        <color indexed="64"/>
      </bottom>
      <diagonal/>
    </border>
    <border>
      <left style="thin">
        <color theme="0" tint="-0.14993743705557422"/>
      </left>
      <right style="thin">
        <color theme="0" tint="-0.14993743705557422"/>
      </right>
      <top style="medium">
        <color indexed="64"/>
      </top>
      <bottom style="medium">
        <color indexed="64"/>
      </bottom>
      <diagonal/>
    </border>
    <border>
      <left style="thin">
        <color theme="0" tint="-0.14993743705557422"/>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theme="0" tint="-0.14996795556505021"/>
      </top>
      <bottom style="medium">
        <color indexed="64"/>
      </bottom>
      <diagonal/>
    </border>
    <border>
      <left style="medium">
        <color indexed="64"/>
      </left>
      <right/>
      <top style="medium">
        <color theme="0" tint="-0.14996795556505021"/>
      </top>
      <bottom style="medium">
        <color indexed="64"/>
      </bottom>
      <diagonal/>
    </border>
    <border>
      <left/>
      <right/>
      <top style="medium">
        <color theme="0" tint="-0.14996795556505021"/>
      </top>
      <bottom style="medium">
        <color indexed="64"/>
      </bottom>
      <diagonal/>
    </border>
    <border>
      <left/>
      <right style="medium">
        <color indexed="64"/>
      </right>
      <top style="medium">
        <color theme="0" tint="-0.14996795556505021"/>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auto="1"/>
      </right>
      <top style="thin">
        <color indexed="64"/>
      </top>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theme="0" tint="-0.14996795556505021"/>
      </right>
      <top style="thin">
        <color indexed="64"/>
      </top>
      <bottom style="medium">
        <color indexed="64"/>
      </bottom>
      <diagonal/>
    </border>
    <border>
      <left style="thin">
        <color theme="0" tint="-0.14996795556505021"/>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indexed="64"/>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style="medium">
        <color indexed="64"/>
      </right>
      <top style="medium">
        <color indexed="64"/>
      </top>
      <bottom style="medium">
        <color indexed="64"/>
      </bottom>
      <diagonal/>
    </border>
    <border>
      <left style="medium">
        <color indexed="64"/>
      </left>
      <right style="medium">
        <color theme="0" tint="-0.14996795556505021"/>
      </right>
      <top style="medium">
        <color indexed="64"/>
      </top>
      <bottom style="medium">
        <color indexed="64"/>
      </bottom>
      <diagonal/>
    </border>
    <border>
      <left style="medium">
        <color theme="0" tint="-0.14996795556505021"/>
      </left>
      <right style="medium">
        <color indexed="64"/>
      </right>
      <top style="medium">
        <color indexed="64"/>
      </top>
      <bottom style="medium">
        <color indexed="64"/>
      </bottom>
      <diagonal/>
    </border>
    <border>
      <left/>
      <right style="thin">
        <color indexed="64"/>
      </right>
      <top style="thin">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thin">
        <color indexed="64"/>
      </left>
      <right style="medium">
        <color indexed="64"/>
      </right>
      <top/>
      <bottom/>
      <diagonal/>
    </border>
    <border>
      <left style="medium">
        <color indexed="64"/>
      </left>
      <right style="medium">
        <color indexed="64"/>
      </right>
      <top style="thin">
        <color theme="0" tint="-0.24994659260841701"/>
      </top>
      <bottom/>
      <diagonal/>
    </border>
    <border>
      <left style="medium">
        <color indexed="64"/>
      </left>
      <right style="medium">
        <color indexed="64"/>
      </right>
      <top style="thin">
        <color theme="0" tint="-0.14996795556505021"/>
      </top>
      <bottom style="thin">
        <color theme="0" tint="-0.24994659260841701"/>
      </bottom>
      <diagonal/>
    </border>
    <border>
      <left/>
      <right style="thin">
        <color indexed="64"/>
      </right>
      <top/>
      <bottom style="thin">
        <color theme="0" tint="-0.24994659260841701"/>
      </bottom>
      <diagonal/>
    </border>
    <border>
      <left style="medium">
        <color indexed="64"/>
      </left>
      <right style="medium">
        <color indexed="64"/>
      </right>
      <top/>
      <bottom style="thin">
        <color theme="0" tint="-0.24994659260841701"/>
      </bottom>
      <diagonal/>
    </border>
    <border>
      <left/>
      <right style="thin">
        <color indexed="64"/>
      </right>
      <top style="thin">
        <color theme="0" tint="-0.24994659260841701"/>
      </top>
      <bottom style="medium">
        <color indexed="64"/>
      </bottom>
      <diagonal/>
    </border>
    <border>
      <left style="thin">
        <color indexed="64"/>
      </left>
      <right/>
      <top style="thin">
        <color indexed="64"/>
      </top>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style="medium">
        <color indexed="64"/>
      </left>
      <right style="medium">
        <color indexed="64"/>
      </right>
      <top/>
      <bottom style="thin">
        <color theme="0" tint="-0.14996795556505021"/>
      </bottom>
      <diagonal/>
    </border>
    <border>
      <left style="thin">
        <color theme="0" tint="-0.14996795556505021"/>
      </left>
      <right/>
      <top style="medium">
        <color indexed="64"/>
      </top>
      <bottom style="thin">
        <color theme="0" tint="-0.14996795556505021"/>
      </bottom>
      <diagonal/>
    </border>
    <border>
      <left style="thin">
        <color theme="0" tint="-0.14996795556505021"/>
      </left>
      <right/>
      <top style="thin">
        <color theme="0" tint="-0.14996795556505021"/>
      </top>
      <bottom style="medium">
        <color indexed="64"/>
      </bottom>
      <diagonal/>
    </border>
    <border>
      <left/>
      <right/>
      <top style="medium">
        <color indexed="64"/>
      </top>
      <bottom style="thin">
        <color theme="0" tint="-0.14996795556505021"/>
      </bottom>
      <diagonal/>
    </border>
    <border>
      <left/>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medium">
        <color indexed="64"/>
      </left>
      <right/>
      <top style="thin">
        <color theme="0" tint="-0.14996795556505021"/>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98">
    <xf numFmtId="0" fontId="0" fillId="0" borderId="0" xfId="0"/>
    <xf numFmtId="0" fontId="2" fillId="0" borderId="0" xfId="0" applyFont="1"/>
    <xf numFmtId="0" fontId="2" fillId="0" borderId="0" xfId="0" applyFont="1" applyAlignment="1">
      <alignment horizontal="left" wrapText="1"/>
    </xf>
    <xf numFmtId="165" fontId="2" fillId="0" borderId="0" xfId="0" applyNumberFormat="1" applyFont="1"/>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center"/>
    </xf>
    <xf numFmtId="0" fontId="8" fillId="0" borderId="0" xfId="0" applyFont="1" applyAlignment="1">
      <alignment horizontal="left" vertical="center"/>
    </xf>
    <xf numFmtId="165"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xf>
    <xf numFmtId="0" fontId="2" fillId="0" borderId="7" xfId="0" applyFont="1" applyBorder="1" applyAlignment="1">
      <alignment vertical="center"/>
    </xf>
    <xf numFmtId="0" fontId="2" fillId="0" borderId="24" xfId="0" applyFont="1" applyBorder="1" applyAlignment="1">
      <alignment horizontal="center" vertical="center"/>
    </xf>
    <xf numFmtId="0" fontId="1" fillId="3" borderId="19" xfId="0" applyFont="1" applyFill="1" applyBorder="1" applyAlignment="1">
      <alignment horizontal="left" vertical="center"/>
    </xf>
    <xf numFmtId="0" fontId="2" fillId="0" borderId="16" xfId="0" applyFont="1" applyBorder="1" applyAlignment="1">
      <alignment horizontal="center" vertical="center"/>
    </xf>
    <xf numFmtId="0" fontId="3" fillId="0" borderId="7" xfId="0" applyFont="1" applyBorder="1" applyAlignment="1">
      <alignment horizontal="right" vertical="center"/>
    </xf>
    <xf numFmtId="0" fontId="2" fillId="0" borderId="7" xfId="0" applyFont="1" applyBorder="1" applyAlignment="1">
      <alignment horizontal="left" vertical="center"/>
    </xf>
    <xf numFmtId="0" fontId="0" fillId="0" borderId="0" xfId="0" applyAlignment="1">
      <alignment horizontal="left" vertical="center"/>
    </xf>
    <xf numFmtId="0" fontId="0" fillId="0" borderId="1" xfId="0" applyBorder="1"/>
    <xf numFmtId="0" fontId="4" fillId="0" borderId="0" xfId="0" applyFont="1"/>
    <xf numFmtId="0" fontId="12" fillId="0" borderId="0" xfId="0" applyFont="1"/>
    <xf numFmtId="0" fontId="0" fillId="0" borderId="1" xfId="0" quotePrefix="1" applyBorder="1"/>
    <xf numFmtId="165" fontId="0" fillId="0" borderId="1" xfId="0" applyNumberFormat="1" applyBorder="1" applyAlignment="1">
      <alignment horizontal="center"/>
    </xf>
    <xf numFmtId="0" fontId="4" fillId="0" borderId="0" xfId="0" applyFont="1" applyAlignment="1">
      <alignment horizontal="left" vertical="center" wrapText="1"/>
    </xf>
    <xf numFmtId="164" fontId="0" fillId="0" borderId="1" xfId="0" applyNumberFormat="1" applyBorder="1"/>
    <xf numFmtId="0" fontId="13" fillId="7" borderId="33" xfId="0" applyFont="1" applyFill="1" applyBorder="1" applyAlignment="1">
      <alignment horizontal="left" vertical="center"/>
    </xf>
    <xf numFmtId="0" fontId="13" fillId="7" borderId="21" xfId="0" applyFont="1" applyFill="1" applyBorder="1" applyAlignment="1">
      <alignment horizontal="left" vertical="center" wrapText="1"/>
    </xf>
    <xf numFmtId="0" fontId="13" fillId="7" borderId="22" xfId="0" applyFont="1" applyFill="1" applyBorder="1" applyAlignment="1">
      <alignment horizontal="left" vertical="center"/>
    </xf>
    <xf numFmtId="0" fontId="0" fillId="0" borderId="27" xfId="0" applyBorder="1"/>
    <xf numFmtId="0" fontId="0" fillId="0" borderId="26" xfId="0" applyBorder="1"/>
    <xf numFmtId="0" fontId="13" fillId="7" borderId="21" xfId="0" applyFont="1" applyFill="1" applyBorder="1" applyAlignment="1">
      <alignment horizontal="left" vertical="center"/>
    </xf>
    <xf numFmtId="164" fontId="0" fillId="0" borderId="26" xfId="0" applyNumberFormat="1" applyBorder="1"/>
    <xf numFmtId="0" fontId="0" fillId="0" borderId="28" xfId="0" applyBorder="1"/>
    <xf numFmtId="164" fontId="0" fillId="0" borderId="29" xfId="0" applyNumberFormat="1" applyBorder="1"/>
    <xf numFmtId="164" fontId="0" fillId="0" borderId="30" xfId="0" applyNumberFormat="1" applyBorder="1"/>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39"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vertical="center"/>
    </xf>
    <xf numFmtId="0" fontId="2" fillId="0" borderId="46" xfId="0" applyFont="1" applyBorder="1" applyAlignment="1">
      <alignment horizontal="center" vertical="center"/>
    </xf>
    <xf numFmtId="0" fontId="2" fillId="0" borderId="39" xfId="0" applyFont="1" applyBorder="1" applyAlignment="1">
      <alignment vertical="center"/>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2" fillId="0" borderId="48" xfId="0" applyFont="1" applyBorder="1" applyAlignment="1">
      <alignment horizontal="left" vertical="center" wrapText="1"/>
    </xf>
    <xf numFmtId="0" fontId="2" fillId="0" borderId="47" xfId="0" applyFont="1" applyBorder="1" applyAlignment="1">
      <alignment vertical="center"/>
    </xf>
    <xf numFmtId="0" fontId="2" fillId="0" borderId="48" xfId="0" applyFont="1" applyBorder="1" applyAlignment="1">
      <alignment horizontal="center" vertical="center" wrapText="1"/>
    </xf>
    <xf numFmtId="2" fontId="10" fillId="0" borderId="40" xfId="0" applyNumberFormat="1" applyFont="1" applyBorder="1" applyAlignment="1">
      <alignment vertical="center"/>
    </xf>
    <xf numFmtId="2" fontId="10" fillId="0" borderId="48" xfId="0" applyNumberFormat="1" applyFont="1" applyBorder="1" applyAlignment="1">
      <alignment vertical="center"/>
    </xf>
    <xf numFmtId="2" fontId="10" fillId="0" borderId="47" xfId="0" applyNumberFormat="1" applyFont="1" applyBorder="1" applyAlignment="1">
      <alignment vertical="center"/>
    </xf>
    <xf numFmtId="0" fontId="2" fillId="0" borderId="49" xfId="0" applyFont="1" applyBorder="1" applyAlignment="1">
      <alignment horizontal="center" vertical="center"/>
    </xf>
    <xf numFmtId="0" fontId="2" fillId="0" borderId="35" xfId="0" applyFont="1" applyBorder="1" applyAlignment="1">
      <alignment horizontal="center" vertical="center"/>
    </xf>
    <xf numFmtId="0" fontId="2" fillId="0" borderId="35" xfId="0" quotePrefix="1" applyFont="1" applyBorder="1" applyAlignment="1">
      <alignment horizontal="center" vertical="center"/>
    </xf>
    <xf numFmtId="2" fontId="2" fillId="0" borderId="49" xfId="0" applyNumberFormat="1" applyFont="1" applyBorder="1" applyAlignment="1">
      <alignment horizontal="center" vertical="center"/>
    </xf>
    <xf numFmtId="2" fontId="2" fillId="0" borderId="24" xfId="0" applyNumberFormat="1" applyFont="1" applyBorder="1" applyAlignment="1">
      <alignment horizontal="center" vertical="center"/>
    </xf>
    <xf numFmtId="2" fontId="2" fillId="0" borderId="35" xfId="0" applyNumberFormat="1" applyFont="1" applyBorder="1" applyAlignment="1">
      <alignment horizontal="center" vertical="center"/>
    </xf>
    <xf numFmtId="165" fontId="2" fillId="0" borderId="49" xfId="0" applyNumberFormat="1" applyFont="1" applyBorder="1" applyAlignment="1">
      <alignment horizontal="center" vertical="center"/>
    </xf>
    <xf numFmtId="165" fontId="2" fillId="0" borderId="24" xfId="0" applyNumberFormat="1" applyFont="1" applyBorder="1" applyAlignment="1">
      <alignment horizontal="center" vertical="center"/>
    </xf>
    <xf numFmtId="165" fontId="2" fillId="0" borderId="35" xfId="0" applyNumberFormat="1" applyFont="1" applyBorder="1" applyAlignment="1">
      <alignment horizontal="center" vertical="center"/>
    </xf>
    <xf numFmtId="2" fontId="2" fillId="0" borderId="32" xfId="0" applyNumberFormat="1" applyFont="1" applyBorder="1" applyAlignment="1">
      <alignment horizontal="center" vertical="center"/>
    </xf>
    <xf numFmtId="165" fontId="2" fillId="0" borderId="50" xfId="0" applyNumberFormat="1" applyFont="1" applyBorder="1" applyAlignment="1">
      <alignment horizontal="center" vertical="center"/>
    </xf>
    <xf numFmtId="165" fontId="2" fillId="0" borderId="34" xfId="0" applyNumberFormat="1" applyFont="1" applyBorder="1" applyAlignment="1">
      <alignment horizontal="center" vertical="center"/>
    </xf>
    <xf numFmtId="2" fontId="2" fillId="0" borderId="51" xfId="0" applyNumberFormat="1" applyFont="1" applyBorder="1" applyAlignment="1">
      <alignment horizontal="center" vertical="center"/>
    </xf>
    <xf numFmtId="0" fontId="2" fillId="0" borderId="51" xfId="0" applyFont="1" applyBorder="1" applyAlignment="1">
      <alignment horizontal="center" vertical="center"/>
    </xf>
    <xf numFmtId="165" fontId="2" fillId="5" borderId="23" xfId="0" applyNumberFormat="1" applyFont="1" applyFill="1" applyBorder="1" applyAlignment="1">
      <alignment horizontal="center" vertical="center"/>
    </xf>
    <xf numFmtId="0" fontId="2" fillId="0" borderId="41" xfId="0" applyFont="1" applyBorder="1" applyAlignment="1">
      <alignment horizontal="center" vertical="center"/>
    </xf>
    <xf numFmtId="0" fontId="2" fillId="0" borderId="54"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165" fontId="2" fillId="0" borderId="31" xfId="0" applyNumberFormat="1" applyFont="1" applyBorder="1" applyAlignment="1">
      <alignment horizontal="center" vertical="center"/>
    </xf>
    <xf numFmtId="1" fontId="2" fillId="0" borderId="49" xfId="0" applyNumberFormat="1" applyFont="1" applyBorder="1" applyAlignment="1">
      <alignment horizontal="center" vertical="center"/>
    </xf>
    <xf numFmtId="165" fontId="2" fillId="3" borderId="24" xfId="0" applyNumberFormat="1" applyFont="1" applyFill="1" applyBorder="1" applyAlignment="1">
      <alignment horizontal="center" vertical="center"/>
    </xf>
    <xf numFmtId="165" fontId="2" fillId="0" borderId="24" xfId="0" quotePrefix="1" applyNumberFormat="1" applyFont="1" applyBorder="1" applyAlignment="1">
      <alignment horizontal="center" vertical="center"/>
    </xf>
    <xf numFmtId="166" fontId="2" fillId="0" borderId="24" xfId="0" applyNumberFormat="1" applyFont="1" applyBorder="1" applyAlignment="1">
      <alignment horizontal="center" vertical="center"/>
    </xf>
    <xf numFmtId="1" fontId="2" fillId="0" borderId="24" xfId="0" applyNumberFormat="1" applyFont="1" applyBorder="1" applyAlignment="1">
      <alignment horizontal="center" vertical="center"/>
    </xf>
    <xf numFmtId="0" fontId="2" fillId="0" borderId="50" xfId="0" applyFont="1" applyBorder="1" applyAlignment="1">
      <alignment horizontal="center" vertical="center"/>
    </xf>
    <xf numFmtId="0" fontId="2" fillId="0" borderId="34" xfId="0" applyFont="1" applyBorder="1" applyAlignment="1">
      <alignment horizontal="center" vertical="center"/>
    </xf>
    <xf numFmtId="0" fontId="2" fillId="0" borderId="34" xfId="0" quotePrefix="1" applyFont="1" applyBorder="1" applyAlignment="1">
      <alignment horizontal="center" vertical="center"/>
    </xf>
    <xf numFmtId="2" fontId="10" fillId="0" borderId="55" xfId="0" applyNumberFormat="1" applyFont="1" applyBorder="1" applyAlignment="1">
      <alignment vertical="center"/>
    </xf>
    <xf numFmtId="2" fontId="2" fillId="0" borderId="36" xfId="0" applyNumberFormat="1" applyFont="1" applyBorder="1" applyAlignment="1">
      <alignment horizontal="center" vertical="center"/>
    </xf>
    <xf numFmtId="165" fontId="2" fillId="0" borderId="36" xfId="0" applyNumberFormat="1" applyFont="1" applyBorder="1" applyAlignment="1">
      <alignment horizontal="center" vertical="center"/>
    </xf>
    <xf numFmtId="165" fontId="2" fillId="5" borderId="56" xfId="0" applyNumberFormat="1" applyFont="1" applyFill="1" applyBorder="1" applyAlignment="1">
      <alignment horizontal="center" vertical="center"/>
    </xf>
    <xf numFmtId="2" fontId="2" fillId="0" borderId="57" xfId="0" applyNumberFormat="1" applyFont="1" applyBorder="1" applyAlignment="1">
      <alignment horizontal="center" vertical="center"/>
    </xf>
    <xf numFmtId="2" fontId="2" fillId="0" borderId="34" xfId="0" applyNumberFormat="1" applyFont="1" applyBorder="1" applyAlignment="1">
      <alignment horizontal="center" vertical="center"/>
    </xf>
    <xf numFmtId="0" fontId="2" fillId="0" borderId="36" xfId="0" applyFont="1" applyBorder="1" applyAlignment="1">
      <alignment horizontal="center" vertical="center"/>
    </xf>
    <xf numFmtId="0" fontId="2" fillId="0" borderId="57" xfId="0" applyFont="1" applyBorder="1" applyAlignment="1">
      <alignment horizontal="center" vertical="center"/>
    </xf>
    <xf numFmtId="0" fontId="2" fillId="3" borderId="34" xfId="0" applyFont="1" applyFill="1" applyBorder="1" applyAlignment="1">
      <alignment horizontal="center" vertical="center"/>
    </xf>
    <xf numFmtId="0" fontId="2" fillId="0" borderId="51" xfId="0" quotePrefix="1" applyFont="1" applyBorder="1" applyAlignment="1">
      <alignment horizontal="center" vertical="center"/>
    </xf>
    <xf numFmtId="0" fontId="2" fillId="0" borderId="37" xfId="0" applyFont="1" applyBorder="1" applyAlignment="1">
      <alignment horizontal="center" vertical="center"/>
    </xf>
    <xf numFmtId="166" fontId="2" fillId="0" borderId="31" xfId="0" applyNumberFormat="1" applyFont="1" applyBorder="1" applyAlignment="1">
      <alignment horizontal="center" vertical="center"/>
    </xf>
    <xf numFmtId="166" fontId="2" fillId="0" borderId="31" xfId="0" applyNumberFormat="1" applyFont="1" applyBorder="1" applyAlignment="1">
      <alignment vertical="center"/>
    </xf>
    <xf numFmtId="0" fontId="2" fillId="0" borderId="37" xfId="0" applyFont="1" applyBorder="1" applyAlignment="1">
      <alignment vertical="center"/>
    </xf>
    <xf numFmtId="165" fontId="2" fillId="0" borderId="32" xfId="0" applyNumberFormat="1" applyFont="1" applyBorder="1" applyAlignment="1">
      <alignment horizontal="center" vertical="center"/>
    </xf>
    <xf numFmtId="2" fontId="2" fillId="0" borderId="50" xfId="0" applyNumberFormat="1" applyFont="1" applyBorder="1" applyAlignment="1">
      <alignment horizontal="center" vertical="center"/>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2" fillId="0" borderId="6" xfId="0" applyFont="1" applyBorder="1" applyAlignment="1">
      <alignment horizontal="center" vertical="center"/>
    </xf>
    <xf numFmtId="165" fontId="2" fillId="0" borderId="6" xfId="0" applyNumberFormat="1" applyFont="1" applyBorder="1" applyAlignment="1">
      <alignment horizontal="center" vertical="center"/>
    </xf>
    <xf numFmtId="0" fontId="2" fillId="0" borderId="63" xfId="0" applyFont="1" applyBorder="1" applyAlignment="1">
      <alignment horizontal="left" vertical="center" wrapText="1"/>
    </xf>
    <xf numFmtId="165" fontId="2" fillId="0" borderId="58" xfId="0" applyNumberFormat="1" applyFont="1" applyBorder="1" applyAlignment="1">
      <alignment horizontal="center" vertical="center"/>
    </xf>
    <xf numFmtId="0" fontId="2" fillId="0" borderId="64" xfId="0" applyFont="1" applyBorder="1" applyAlignment="1">
      <alignment horizontal="center" vertical="center"/>
    </xf>
    <xf numFmtId="0" fontId="2" fillId="0" borderId="57" xfId="0" applyFont="1" applyBorder="1" applyAlignment="1">
      <alignment horizontal="left" vertical="center"/>
    </xf>
    <xf numFmtId="0" fontId="10" fillId="0" borderId="36" xfId="0" applyFont="1" applyBorder="1" applyAlignment="1">
      <alignment horizontal="center" vertical="center"/>
    </xf>
    <xf numFmtId="165" fontId="10" fillId="0" borderId="36" xfId="0" applyNumberFormat="1" applyFont="1" applyBorder="1" applyAlignment="1">
      <alignment horizontal="center" vertical="center"/>
    </xf>
    <xf numFmtId="165" fontId="2" fillId="0" borderId="31" xfId="0" applyNumberFormat="1" applyFont="1" applyBorder="1" applyAlignment="1">
      <alignment horizontal="left" vertical="center"/>
    </xf>
    <xf numFmtId="0" fontId="2" fillId="0" borderId="65" xfId="0" applyFont="1" applyBorder="1" applyAlignment="1">
      <alignment horizontal="center" vertical="center"/>
    </xf>
    <xf numFmtId="165" fontId="2" fillId="0" borderId="24" xfId="0" applyNumberFormat="1" applyFont="1" applyBorder="1" applyAlignment="1">
      <alignment horizontal="left" vertical="center"/>
    </xf>
    <xf numFmtId="165" fontId="2" fillId="0" borderId="36" xfId="0" applyNumberFormat="1" applyFont="1" applyBorder="1" applyAlignment="1">
      <alignment horizontal="left" vertical="center"/>
    </xf>
    <xf numFmtId="165" fontId="2" fillId="0" borderId="57" xfId="0" applyNumberFormat="1" applyFont="1" applyBorder="1" applyAlignment="1">
      <alignment horizontal="left" vertical="center"/>
    </xf>
    <xf numFmtId="0" fontId="10" fillId="0" borderId="38" xfId="0" applyFont="1" applyBorder="1" applyAlignment="1">
      <alignment horizontal="center" vertical="center"/>
    </xf>
    <xf numFmtId="0" fontId="2" fillId="3" borderId="64" xfId="0" applyFont="1" applyFill="1" applyBorder="1" applyAlignment="1">
      <alignment horizontal="left" vertical="center"/>
    </xf>
    <xf numFmtId="165" fontId="2" fillId="3" borderId="58" xfId="0" applyNumberFormat="1" applyFont="1" applyFill="1" applyBorder="1" applyAlignment="1">
      <alignment horizontal="center" vertical="center"/>
    </xf>
    <xf numFmtId="0" fontId="2" fillId="3" borderId="41" xfId="0" applyFont="1" applyFill="1" applyBorder="1" applyAlignment="1">
      <alignment horizontal="center" vertical="center"/>
    </xf>
    <xf numFmtId="0" fontId="7" fillId="0" borderId="0" xfId="0" applyFont="1" applyAlignment="1">
      <alignment vertical="center"/>
    </xf>
    <xf numFmtId="0" fontId="2" fillId="0" borderId="59" xfId="0" applyFont="1" applyBorder="1" applyAlignment="1">
      <alignment vertical="center"/>
    </xf>
    <xf numFmtId="0" fontId="2" fillId="3" borderId="43" xfId="0" applyFont="1" applyFill="1" applyBorder="1" applyAlignment="1">
      <alignment horizontal="center" vertical="center"/>
    </xf>
    <xf numFmtId="0" fontId="2" fillId="3" borderId="39" xfId="0" applyFont="1" applyFill="1" applyBorder="1" applyAlignment="1">
      <alignment horizontal="center" vertical="center"/>
    </xf>
    <xf numFmtId="1" fontId="2" fillId="0" borderId="36" xfId="0" applyNumberFormat="1" applyFont="1" applyBorder="1" applyAlignment="1">
      <alignment horizontal="center" vertical="center"/>
    </xf>
    <xf numFmtId="2" fontId="10" fillId="0" borderId="0" xfId="0" applyNumberFormat="1" applyFont="1" applyAlignment="1">
      <alignment vertical="center"/>
    </xf>
    <xf numFmtId="1" fontId="2" fillId="0" borderId="6" xfId="0" applyNumberFormat="1" applyFont="1" applyBorder="1" applyAlignment="1">
      <alignment horizontal="center" vertical="center"/>
    </xf>
    <xf numFmtId="165" fontId="2" fillId="0" borderId="66" xfId="0" applyNumberFormat="1" applyFont="1" applyBorder="1" applyAlignment="1">
      <alignment horizontal="center" vertical="center"/>
    </xf>
    <xf numFmtId="165" fontId="2" fillId="0" borderId="0" xfId="0" applyNumberFormat="1" applyFont="1" applyAlignment="1">
      <alignment horizontal="center" vertical="center"/>
    </xf>
    <xf numFmtId="165" fontId="2" fillId="0" borderId="58" xfId="0" quotePrefix="1" applyNumberFormat="1" applyFont="1" applyBorder="1" applyAlignment="1">
      <alignment horizontal="center" vertical="center"/>
    </xf>
    <xf numFmtId="0" fontId="2" fillId="0" borderId="24" xfId="0" applyFont="1" applyBorder="1" applyAlignment="1">
      <alignment vertical="center"/>
    </xf>
    <xf numFmtId="0" fontId="2" fillId="0" borderId="60" xfId="0" applyFont="1" applyBorder="1" applyAlignment="1">
      <alignment vertical="center"/>
    </xf>
    <xf numFmtId="0" fontId="2" fillId="0" borderId="58" xfId="0" quotePrefix="1" applyFont="1" applyBorder="1" applyAlignment="1">
      <alignment horizontal="center"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165" fontId="2" fillId="3" borderId="72" xfId="0" applyNumberFormat="1" applyFont="1" applyFill="1" applyBorder="1" applyAlignment="1">
      <alignment horizontal="center" vertical="center"/>
    </xf>
    <xf numFmtId="0" fontId="2" fillId="0" borderId="64" xfId="0" quotePrefix="1" applyFont="1" applyBorder="1" applyAlignment="1">
      <alignment horizontal="center" vertical="center"/>
    </xf>
    <xf numFmtId="0" fontId="2" fillId="3" borderId="73" xfId="0" applyFont="1" applyFill="1" applyBorder="1" applyAlignment="1">
      <alignment horizontal="left" vertical="center"/>
    </xf>
    <xf numFmtId="0" fontId="2" fillId="0" borderId="74" xfId="0" applyFont="1" applyBorder="1" applyAlignment="1">
      <alignment horizontal="center" vertical="center"/>
    </xf>
    <xf numFmtId="165" fontId="2" fillId="3" borderId="75" xfId="0" applyNumberFormat="1" applyFont="1" applyFill="1" applyBorder="1" applyAlignment="1">
      <alignment horizontal="center" vertical="center"/>
    </xf>
    <xf numFmtId="0" fontId="2" fillId="0" borderId="79" xfId="0" applyFont="1" applyBorder="1" applyAlignment="1">
      <alignment horizontal="center" vertical="center"/>
    </xf>
    <xf numFmtId="0" fontId="2" fillId="0" borderId="61" xfId="0" applyFont="1" applyBorder="1" applyAlignment="1">
      <alignment vertical="center"/>
    </xf>
    <xf numFmtId="0" fontId="2" fillId="0" borderId="61" xfId="0" applyFont="1" applyBorder="1" applyAlignment="1">
      <alignment horizontal="left" vertical="center" wrapText="1"/>
    </xf>
    <xf numFmtId="165" fontId="2" fillId="0" borderId="62" xfId="0" applyNumberFormat="1" applyFont="1" applyBorder="1" applyAlignment="1">
      <alignment horizontal="center" vertical="center"/>
    </xf>
    <xf numFmtId="0" fontId="2" fillId="3" borderId="73"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1" xfId="0" applyFont="1" applyFill="1" applyBorder="1" applyAlignment="1">
      <alignment horizontal="left" vertical="center"/>
    </xf>
    <xf numFmtId="165" fontId="0" fillId="0" borderId="29" xfId="0" applyNumberFormat="1" applyBorder="1" applyAlignment="1">
      <alignment horizontal="center"/>
    </xf>
    <xf numFmtId="0" fontId="0" fillId="0" borderId="29" xfId="0" applyBorder="1"/>
    <xf numFmtId="0" fontId="0" fillId="0" borderId="30" xfId="0" applyBorder="1"/>
    <xf numFmtId="0" fontId="2" fillId="0" borderId="81" xfId="0" applyFont="1" applyBorder="1" applyAlignment="1">
      <alignment vertical="center"/>
    </xf>
    <xf numFmtId="0" fontId="15" fillId="3" borderId="73" xfId="0" applyFont="1" applyFill="1" applyBorder="1" applyAlignment="1">
      <alignment horizontal="left" vertical="center"/>
    </xf>
    <xf numFmtId="0" fontId="2" fillId="0" borderId="82" xfId="0" applyFont="1" applyBorder="1" applyAlignment="1">
      <alignment vertical="center"/>
    </xf>
    <xf numFmtId="0" fontId="2" fillId="0" borderId="84" xfId="0" applyFont="1" applyBorder="1" applyAlignment="1">
      <alignment vertical="center"/>
    </xf>
    <xf numFmtId="0" fontId="2" fillId="0" borderId="86" xfId="0" applyFont="1" applyBorder="1" applyAlignment="1">
      <alignment vertical="center"/>
    </xf>
    <xf numFmtId="0" fontId="2" fillId="0" borderId="55" xfId="0" applyFont="1" applyBorder="1" applyAlignment="1">
      <alignment vertical="center"/>
    </xf>
    <xf numFmtId="165" fontId="2" fillId="0" borderId="56" xfId="0" applyNumberFormat="1" applyFont="1" applyBorder="1" applyAlignment="1">
      <alignment horizontal="center" vertical="center"/>
    </xf>
    <xf numFmtId="0" fontId="2" fillId="0" borderId="55" xfId="0" applyFont="1" applyBorder="1" applyAlignment="1">
      <alignment horizontal="left" vertical="center" wrapText="1"/>
    </xf>
    <xf numFmtId="0" fontId="2" fillId="0" borderId="48" xfId="0" applyFont="1" applyBorder="1" applyAlignment="1">
      <alignment vertical="center"/>
    </xf>
    <xf numFmtId="0" fontId="2" fillId="0" borderId="83" xfId="0" applyFont="1" applyBorder="1" applyAlignment="1">
      <alignment vertical="center"/>
    </xf>
    <xf numFmtId="0" fontId="2" fillId="0" borderId="85" xfId="0" applyFont="1" applyBorder="1" applyAlignment="1">
      <alignment vertical="center"/>
    </xf>
    <xf numFmtId="0" fontId="2" fillId="0" borderId="47" xfId="0" applyFont="1" applyBorder="1" applyAlignment="1">
      <alignment vertical="center" wrapText="1"/>
    </xf>
    <xf numFmtId="0" fontId="2" fillId="0" borderId="50" xfId="0" applyFont="1" applyBorder="1" applyAlignment="1">
      <alignment vertical="center"/>
    </xf>
    <xf numFmtId="0" fontId="6" fillId="8" borderId="15" xfId="0" applyFont="1" applyFill="1" applyBorder="1" applyAlignment="1">
      <alignment horizontal="center" vertical="center"/>
    </xf>
    <xf numFmtId="0" fontId="6" fillId="8" borderId="3" xfId="0" applyFont="1" applyFill="1" applyBorder="1" applyAlignment="1">
      <alignment vertical="center"/>
    </xf>
    <xf numFmtId="2" fontId="11" fillId="8" borderId="3" xfId="0" applyNumberFormat="1" applyFont="1" applyFill="1" applyBorder="1" applyAlignment="1">
      <alignment vertical="center"/>
    </xf>
    <xf numFmtId="165" fontId="0" fillId="3" borderId="1" xfId="0" applyNumberFormat="1" applyFill="1" applyBorder="1" applyAlignment="1">
      <alignment horizontal="center"/>
    </xf>
    <xf numFmtId="0" fontId="4" fillId="8" borderId="15" xfId="0" applyFont="1" applyFill="1" applyBorder="1"/>
    <xf numFmtId="0" fontId="4" fillId="8" borderId="3" xfId="0" applyFont="1" applyFill="1" applyBorder="1"/>
    <xf numFmtId="0" fontId="4" fillId="8" borderId="13" xfId="0" applyFont="1" applyFill="1" applyBorder="1"/>
    <xf numFmtId="0" fontId="4" fillId="8" borderId="27" xfId="0" applyFont="1" applyFill="1" applyBorder="1"/>
    <xf numFmtId="165" fontId="4" fillId="8" borderId="1" xfId="0" applyNumberFormat="1" applyFont="1" applyFill="1" applyBorder="1" applyAlignment="1">
      <alignment horizontal="center"/>
    </xf>
    <xf numFmtId="0" fontId="4" fillId="8" borderId="1" xfId="0" applyFont="1" applyFill="1" applyBorder="1"/>
    <xf numFmtId="0" fontId="4" fillId="8" borderId="26" xfId="0" applyFont="1" applyFill="1" applyBorder="1"/>
    <xf numFmtId="165" fontId="4" fillId="8" borderId="2" xfId="0" applyNumberFormat="1" applyFont="1" applyFill="1" applyBorder="1" applyAlignment="1">
      <alignment horizontal="center"/>
    </xf>
    <xf numFmtId="165" fontId="4" fillId="8" borderId="3" xfId="0" applyNumberFormat="1" applyFont="1" applyFill="1" applyBorder="1" applyAlignment="1">
      <alignment horizontal="center"/>
    </xf>
    <xf numFmtId="0" fontId="6" fillId="8" borderId="12" xfId="0" applyFont="1" applyFill="1" applyBorder="1" applyAlignment="1">
      <alignment horizontal="center" vertical="center"/>
    </xf>
    <xf numFmtId="0" fontId="6" fillId="8" borderId="3" xfId="0" applyFont="1" applyFill="1" applyBorder="1" applyAlignment="1">
      <alignment horizontal="center" vertical="center"/>
    </xf>
    <xf numFmtId="0" fontId="2" fillId="8" borderId="0" xfId="0" applyFont="1" applyFill="1" applyAlignment="1">
      <alignment vertical="center"/>
    </xf>
    <xf numFmtId="0" fontId="6" fillId="8" borderId="13" xfId="0" applyFont="1" applyFill="1" applyBorder="1" applyAlignment="1">
      <alignment horizontal="center" vertical="center"/>
    </xf>
    <xf numFmtId="0" fontId="6" fillId="8" borderId="14" xfId="0" applyFont="1" applyFill="1" applyBorder="1" applyAlignment="1">
      <alignment horizontal="left" vertical="center" wrapText="1"/>
    </xf>
    <xf numFmtId="0" fontId="4" fillId="8" borderId="3" xfId="0" applyFont="1" applyFill="1" applyBorder="1" applyAlignment="1">
      <alignment vertical="center"/>
    </xf>
    <xf numFmtId="0" fontId="5" fillId="8" borderId="0" xfId="0" applyFont="1" applyFill="1" applyAlignment="1">
      <alignment vertical="center"/>
    </xf>
    <xf numFmtId="0" fontId="2" fillId="9" borderId="49"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36" xfId="0" applyFont="1" applyFill="1" applyBorder="1" applyAlignment="1">
      <alignment horizontal="center" vertical="center"/>
    </xf>
    <xf numFmtId="0" fontId="16"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left" vertical="center"/>
    </xf>
    <xf numFmtId="0" fontId="9" fillId="3" borderId="20" xfId="0" applyFont="1" applyFill="1" applyBorder="1" applyAlignment="1">
      <alignment horizontal="left" vertical="center"/>
    </xf>
    <xf numFmtId="0" fontId="9" fillId="3" borderId="90" xfId="0" applyFont="1" applyFill="1" applyBorder="1" applyAlignment="1">
      <alignment horizontal="left" vertical="center"/>
    </xf>
    <xf numFmtId="0" fontId="2" fillId="9" borderId="91" xfId="0" applyFont="1" applyFill="1" applyBorder="1" applyAlignment="1">
      <alignment vertical="center"/>
    </xf>
    <xf numFmtId="0" fontId="2" fillId="9" borderId="92" xfId="0" applyFont="1" applyFill="1" applyBorder="1" applyAlignment="1">
      <alignment vertical="center"/>
    </xf>
    <xf numFmtId="165" fontId="2" fillId="3" borderId="56" xfId="0" applyNumberFormat="1" applyFont="1" applyFill="1" applyBorder="1" applyAlignment="1">
      <alignment horizontal="center" vertical="center"/>
    </xf>
    <xf numFmtId="0" fontId="2" fillId="3" borderId="88" xfId="0" applyFont="1" applyFill="1" applyBorder="1" applyAlignment="1">
      <alignment vertical="center"/>
    </xf>
    <xf numFmtId="0" fontId="2" fillId="3" borderId="93" xfId="0" applyFont="1" applyFill="1" applyBorder="1" applyAlignment="1">
      <alignment vertical="center"/>
    </xf>
    <xf numFmtId="0" fontId="2" fillId="3" borderId="89" xfId="0" applyFont="1" applyFill="1" applyBorder="1" applyAlignment="1">
      <alignment vertical="center"/>
    </xf>
    <xf numFmtId="0" fontId="2" fillId="3" borderId="94" xfId="0" applyFont="1" applyFill="1" applyBorder="1" applyAlignment="1">
      <alignment vertical="center"/>
    </xf>
    <xf numFmtId="0" fontId="2" fillId="3" borderId="95" xfId="0" applyFont="1" applyFill="1" applyBorder="1" applyAlignment="1">
      <alignment vertical="center"/>
    </xf>
    <xf numFmtId="0" fontId="2" fillId="3" borderId="96" xfId="0" applyFont="1" applyFill="1" applyBorder="1" applyAlignment="1">
      <alignment vertical="center"/>
    </xf>
    <xf numFmtId="0" fontId="2" fillId="8" borderId="61" xfId="0" applyFont="1" applyFill="1" applyBorder="1" applyAlignment="1">
      <alignment vertical="center"/>
    </xf>
    <xf numFmtId="0" fontId="5" fillId="8" borderId="61" xfId="0" applyFont="1" applyFill="1" applyBorder="1" applyAlignment="1">
      <alignment vertical="center"/>
    </xf>
    <xf numFmtId="0" fontId="2" fillId="0" borderId="97" xfId="0"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vertical="center"/>
    </xf>
    <xf numFmtId="0" fontId="15" fillId="3" borderId="99" xfId="0" applyFont="1" applyFill="1" applyBorder="1" applyAlignment="1">
      <alignment horizontal="left" vertical="center"/>
    </xf>
    <xf numFmtId="0" fontId="2" fillId="0" borderId="100" xfId="0" applyFont="1" applyBorder="1" applyAlignment="1">
      <alignment horizontal="center" vertical="center"/>
    </xf>
    <xf numFmtId="0" fontId="6" fillId="8" borderId="105" xfId="0" applyFont="1" applyFill="1" applyBorder="1" applyAlignment="1">
      <alignment horizontal="center" vertical="center"/>
    </xf>
    <xf numFmtId="0" fontId="6" fillId="8" borderId="20" xfId="0" applyFont="1" applyFill="1" applyBorder="1" applyAlignment="1">
      <alignment horizontal="center" vertical="center"/>
    </xf>
    <xf numFmtId="0" fontId="2" fillId="8" borderId="20" xfId="0" applyFont="1" applyFill="1" applyBorder="1" applyAlignment="1">
      <alignment vertical="center"/>
    </xf>
    <xf numFmtId="0" fontId="6" fillId="8" borderId="90" xfId="0" applyFont="1" applyFill="1" applyBorder="1" applyAlignment="1">
      <alignment horizontal="center" vertical="center"/>
    </xf>
    <xf numFmtId="0" fontId="6" fillId="8" borderId="3" xfId="0" applyFont="1" applyFill="1" applyBorder="1" applyAlignment="1">
      <alignment horizontal="left" vertical="center"/>
    </xf>
    <xf numFmtId="2" fontId="2" fillId="0" borderId="0" xfId="0" applyNumberFormat="1" applyFont="1" applyAlignment="1">
      <alignment horizontal="center" vertical="center"/>
    </xf>
    <xf numFmtId="0" fontId="2" fillId="5" borderId="52" xfId="0" applyFont="1" applyFill="1" applyBorder="1" applyAlignment="1">
      <alignment horizontal="center" vertical="center"/>
    </xf>
    <xf numFmtId="0" fontId="15" fillId="0" borderId="0" xfId="0" applyFont="1" applyAlignment="1">
      <alignment vertical="center"/>
    </xf>
    <xf numFmtId="0" fontId="2" fillId="5" borderId="30" xfId="0" applyFont="1" applyFill="1" applyBorder="1" applyAlignment="1">
      <alignment horizontal="center" vertical="center"/>
    </xf>
    <xf numFmtId="0" fontId="2" fillId="5" borderId="56" xfId="0" applyFont="1" applyFill="1" applyBorder="1" applyAlignment="1">
      <alignment horizontal="center" vertical="center"/>
    </xf>
    <xf numFmtId="0" fontId="15" fillId="0" borderId="0" xfId="0" applyFont="1" applyAlignment="1">
      <alignment horizontal="center" vertical="center"/>
    </xf>
    <xf numFmtId="0" fontId="2" fillId="0" borderId="0" xfId="0" applyFont="1" applyAlignment="1">
      <alignment vertical="center" wrapText="1"/>
    </xf>
    <xf numFmtId="0" fontId="6" fillId="8" borderId="115" xfId="0" applyFont="1" applyFill="1" applyBorder="1" applyAlignment="1">
      <alignment horizontal="center" vertical="center" wrapText="1"/>
    </xf>
    <xf numFmtId="0" fontId="14" fillId="8" borderId="68" xfId="0" applyFont="1" applyFill="1" applyBorder="1" applyAlignment="1">
      <alignment vertical="center" wrapText="1"/>
    </xf>
    <xf numFmtId="0" fontId="2" fillId="0" borderId="68" xfId="0" applyFont="1" applyBorder="1" applyAlignment="1">
      <alignment vertical="center"/>
    </xf>
    <xf numFmtId="0" fontId="2" fillId="0" borderId="67" xfId="0" applyFont="1" applyBorder="1" applyAlignment="1">
      <alignment vertical="center"/>
    </xf>
    <xf numFmtId="0" fontId="2" fillId="2" borderId="67" xfId="0" applyFont="1" applyFill="1" applyBorder="1" applyAlignment="1">
      <alignment vertical="center"/>
    </xf>
    <xf numFmtId="0" fontId="2" fillId="0" borderId="80" xfId="0" applyFont="1" applyBorder="1" applyAlignment="1">
      <alignment vertical="center"/>
    </xf>
    <xf numFmtId="1" fontId="2" fillId="0" borderId="0" xfId="0" applyNumberFormat="1" applyFont="1" applyAlignment="1">
      <alignment vertical="center"/>
    </xf>
    <xf numFmtId="0" fontId="6" fillId="8" borderId="120" xfId="0" applyFont="1" applyFill="1" applyBorder="1" applyAlignment="1">
      <alignment horizontal="center" vertical="center" wrapText="1"/>
    </xf>
    <xf numFmtId="165" fontId="6" fillId="8" borderId="123" xfId="0" applyNumberFormat="1" applyFont="1" applyFill="1" applyBorder="1" applyAlignment="1">
      <alignment horizontal="center" vertical="center" wrapText="1"/>
    </xf>
    <xf numFmtId="0" fontId="6" fillId="8" borderId="123" xfId="0" applyFont="1" applyFill="1" applyBorder="1" applyAlignment="1">
      <alignment horizontal="center" vertical="center" wrapText="1"/>
    </xf>
    <xf numFmtId="0" fontId="14" fillId="8" borderId="9" xfId="0" applyFont="1" applyFill="1" applyBorder="1" applyAlignment="1">
      <alignment vertical="center" wrapText="1"/>
    </xf>
    <xf numFmtId="0" fontId="3" fillId="0" borderId="0" xfId="0" applyFont="1" applyAlignment="1">
      <alignment horizontal="right" vertical="center"/>
    </xf>
    <xf numFmtId="49" fontId="2" fillId="0" borderId="0" xfId="0" applyNumberFormat="1"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vertical="center"/>
    </xf>
    <xf numFmtId="0" fontId="2" fillId="0" borderId="67" xfId="0" applyFont="1" applyBorder="1" applyAlignment="1">
      <alignment horizontal="right" vertical="center"/>
    </xf>
    <xf numFmtId="0" fontId="2" fillId="0" borderId="7" xfId="0" applyFont="1" applyBorder="1" applyAlignment="1">
      <alignment horizontal="right" vertical="center"/>
    </xf>
    <xf numFmtId="1" fontId="2" fillId="0" borderId="7" xfId="0" applyNumberFormat="1" applyFont="1" applyBorder="1" applyAlignment="1">
      <alignment vertical="center"/>
    </xf>
    <xf numFmtId="165" fontId="2" fillId="0" borderId="98" xfId="0" applyNumberFormat="1" applyFont="1" applyBorder="1" applyAlignment="1">
      <alignment vertical="center"/>
    </xf>
    <xf numFmtId="0" fontId="2" fillId="0" borderId="7" xfId="0" applyFont="1" applyBorder="1" applyAlignment="1">
      <alignment horizontal="left" vertical="center" wrapText="1"/>
    </xf>
    <xf numFmtId="0" fontId="2" fillId="9" borderId="102" xfId="0" applyFont="1" applyFill="1" applyBorder="1" applyAlignment="1">
      <alignment horizontal="center" vertical="center"/>
    </xf>
    <xf numFmtId="0" fontId="2" fillId="0" borderId="124" xfId="0" applyFont="1" applyBorder="1" applyAlignment="1">
      <alignment horizontal="center" vertical="center"/>
    </xf>
    <xf numFmtId="165" fontId="2" fillId="0" borderId="124" xfId="0" applyNumberFormat="1" applyFont="1" applyBorder="1" applyAlignment="1">
      <alignment horizontal="center" vertical="center"/>
    </xf>
    <xf numFmtId="165" fontId="2" fillId="5" borderId="104" xfId="0" applyNumberFormat="1" applyFont="1" applyFill="1" applyBorder="1" applyAlignment="1">
      <alignment horizontal="center" vertical="center"/>
    </xf>
    <xf numFmtId="0" fontId="2" fillId="9" borderId="125" xfId="0" applyFont="1" applyFill="1" applyBorder="1" applyAlignment="1">
      <alignment vertical="center"/>
    </xf>
    <xf numFmtId="0" fontId="2" fillId="3" borderId="126" xfId="0" applyFont="1" applyFill="1" applyBorder="1" applyAlignment="1">
      <alignment vertical="center"/>
    </xf>
    <xf numFmtId="0" fontId="2" fillId="3" borderId="127" xfId="0" applyFont="1" applyFill="1" applyBorder="1" applyAlignment="1">
      <alignment vertical="center"/>
    </xf>
    <xf numFmtId="0" fontId="2" fillId="3" borderId="128" xfId="0" applyFont="1" applyFill="1" applyBorder="1" applyAlignment="1">
      <alignment vertical="center"/>
    </xf>
    <xf numFmtId="0" fontId="2" fillId="0" borderId="16" xfId="0" applyFont="1" applyBorder="1" applyAlignment="1">
      <alignment horizontal="center"/>
    </xf>
    <xf numFmtId="0" fontId="2" fillId="0" borderId="7" xfId="0" applyFont="1" applyBorder="1"/>
    <xf numFmtId="0" fontId="2" fillId="0" borderId="7" xfId="0" applyFont="1" applyBorder="1" applyAlignment="1">
      <alignment horizontal="left" wrapText="1"/>
    </xf>
    <xf numFmtId="0" fontId="1" fillId="0" borderId="7" xfId="0" applyFont="1" applyBorder="1" applyAlignment="1">
      <alignment horizontal="right" vertical="center"/>
    </xf>
    <xf numFmtId="0" fontId="0" fillId="0" borderId="7" xfId="0" applyBorder="1" applyAlignment="1">
      <alignment horizontal="right" vertical="center"/>
    </xf>
    <xf numFmtId="0" fontId="0" fillId="0" borderId="7" xfId="0" applyBorder="1"/>
    <xf numFmtId="0" fontId="2" fillId="0" borderId="17" xfId="0" applyFont="1" applyBorder="1"/>
    <xf numFmtId="0" fontId="2" fillId="0" borderId="129" xfId="0" applyFont="1" applyBorder="1" applyAlignment="1">
      <alignment horizontal="center" vertical="center"/>
    </xf>
    <xf numFmtId="49" fontId="2" fillId="0" borderId="7" xfId="0" applyNumberFormat="1" applyFont="1" applyBorder="1" applyAlignment="1">
      <alignment horizontal="center" vertical="center"/>
    </xf>
    <xf numFmtId="2" fontId="10" fillId="0" borderId="101" xfId="0" applyNumberFormat="1" applyFont="1" applyBorder="1" applyAlignment="1">
      <alignment vertical="center"/>
    </xf>
    <xf numFmtId="2" fontId="2" fillId="0" borderId="102" xfId="0" applyNumberFormat="1" applyFont="1" applyBorder="1" applyAlignment="1">
      <alignment horizontal="center" vertical="center"/>
    </xf>
    <xf numFmtId="165" fontId="2" fillId="0" borderId="103" xfId="0" applyNumberFormat="1" applyFont="1" applyBorder="1" applyAlignment="1">
      <alignment horizontal="center" vertical="center"/>
    </xf>
    <xf numFmtId="0" fontId="2" fillId="3" borderId="16" xfId="0" applyFont="1" applyFill="1" applyBorder="1" applyAlignment="1">
      <alignment vertical="center"/>
    </xf>
    <xf numFmtId="0" fontId="2" fillId="3" borderId="7" xfId="0" applyFont="1" applyFill="1" applyBorder="1" applyAlignment="1">
      <alignment vertical="center"/>
    </xf>
    <xf numFmtId="0" fontId="2" fillId="3" borderId="17" xfId="0" applyFont="1" applyFill="1" applyBorder="1" applyAlignment="1">
      <alignment vertical="center"/>
    </xf>
    <xf numFmtId="0" fontId="2" fillId="0" borderId="132" xfId="0" applyFont="1" applyBorder="1" applyAlignment="1">
      <alignment horizontal="center" vertical="center"/>
    </xf>
    <xf numFmtId="0" fontId="2" fillId="0" borderId="133" xfId="0" applyFont="1" applyBorder="1" applyAlignment="1">
      <alignment horizontal="center" vertical="center"/>
    </xf>
    <xf numFmtId="0" fontId="2" fillId="0" borderId="134" xfId="0" applyFont="1" applyBorder="1" applyAlignment="1">
      <alignment horizontal="left" vertical="center" wrapText="1"/>
    </xf>
    <xf numFmtId="0" fontId="2" fillId="3" borderId="124" xfId="0" applyFont="1" applyFill="1" applyBorder="1" applyAlignment="1">
      <alignment horizontal="center" vertical="center"/>
    </xf>
    <xf numFmtId="0" fontId="10" fillId="0" borderId="0" xfId="0" applyFont="1" applyAlignment="1">
      <alignment vertical="center"/>
    </xf>
    <xf numFmtId="2" fontId="10" fillId="0" borderId="134" xfId="0" applyNumberFormat="1" applyFont="1" applyBorder="1" applyAlignment="1">
      <alignment vertical="center"/>
    </xf>
    <xf numFmtId="2" fontId="2" fillId="0" borderId="124" xfId="0" applyNumberFormat="1" applyFont="1" applyBorder="1" applyAlignment="1">
      <alignment horizontal="center" vertical="center"/>
    </xf>
    <xf numFmtId="165" fontId="2" fillId="0" borderId="7" xfId="0" applyNumberFormat="1" applyFont="1" applyBorder="1" applyAlignment="1">
      <alignment horizontal="center" vertical="center"/>
    </xf>
    <xf numFmtId="165" fontId="2" fillId="0" borderId="129" xfId="0" applyNumberFormat="1" applyFont="1" applyBorder="1" applyAlignment="1">
      <alignment horizontal="center" vertical="center"/>
    </xf>
    <xf numFmtId="0" fontId="16" fillId="0" borderId="0" xfId="0" applyFont="1" applyAlignment="1">
      <alignment vertical="center"/>
    </xf>
    <xf numFmtId="0" fontId="6" fillId="8" borderId="137" xfId="0" applyFont="1" applyFill="1" applyBorder="1" applyAlignment="1">
      <alignment horizontal="center" vertical="center"/>
    </xf>
    <xf numFmtId="0" fontId="2" fillId="8" borderId="7" xfId="0" applyFont="1" applyFill="1" applyBorder="1" applyAlignment="1">
      <alignment vertical="center"/>
    </xf>
    <xf numFmtId="0" fontId="6" fillId="8" borderId="140" xfId="0" applyFont="1" applyFill="1" applyBorder="1" applyAlignment="1">
      <alignment horizontal="center" vertical="center"/>
    </xf>
    <xf numFmtId="0" fontId="6" fillId="8" borderId="111" xfId="0" applyFont="1" applyFill="1" applyBorder="1" applyAlignment="1">
      <alignment horizontal="center" vertical="center"/>
    </xf>
    <xf numFmtId="0" fontId="6" fillId="0" borderId="60" xfId="0" applyFont="1" applyBorder="1"/>
    <xf numFmtId="0" fontId="6" fillId="0" borderId="0" xfId="0" applyFont="1"/>
    <xf numFmtId="0" fontId="2" fillId="0" borderId="60" xfId="0" applyFont="1" applyBorder="1"/>
    <xf numFmtId="165" fontId="6" fillId="0" borderId="0" xfId="0" applyNumberFormat="1" applyFont="1"/>
    <xf numFmtId="165" fontId="2" fillId="0" borderId="59" xfId="0" applyNumberFormat="1" applyFont="1" applyBorder="1"/>
    <xf numFmtId="0" fontId="19" fillId="13" borderId="10" xfId="0" applyFont="1" applyFill="1" applyBorder="1"/>
    <xf numFmtId="0" fontId="6" fillId="0" borderId="59" xfId="0" applyFont="1" applyBorder="1"/>
    <xf numFmtId="0" fontId="2" fillId="0" borderId="59" xfId="0" applyFont="1" applyBorder="1"/>
    <xf numFmtId="0" fontId="19" fillId="13" borderId="16" xfId="0" applyFont="1" applyFill="1" applyBorder="1"/>
    <xf numFmtId="165" fontId="19" fillId="13" borderId="11" xfId="0" applyNumberFormat="1" applyFont="1" applyFill="1" applyBorder="1"/>
    <xf numFmtId="0" fontId="19" fillId="13" borderId="9" xfId="0" applyFont="1" applyFill="1" applyBorder="1" applyAlignment="1">
      <alignment horizontal="left"/>
    </xf>
    <xf numFmtId="0" fontId="19" fillId="13" borderId="10" xfId="0" applyFont="1" applyFill="1" applyBorder="1" applyAlignment="1">
      <alignment horizontal="left"/>
    </xf>
    <xf numFmtId="0" fontId="0" fillId="0" borderId="0" xfId="0" applyAlignment="1">
      <alignment horizontal="left"/>
    </xf>
    <xf numFmtId="0" fontId="0" fillId="13" borderId="10" xfId="0" applyFill="1" applyBorder="1" applyAlignment="1">
      <alignment horizontal="left"/>
    </xf>
    <xf numFmtId="165" fontId="19" fillId="13" borderId="10" xfId="0" applyNumberFormat="1" applyFont="1" applyFill="1" applyBorder="1" applyAlignment="1">
      <alignment horizontal="left"/>
    </xf>
    <xf numFmtId="165" fontId="19" fillId="13" borderId="11" xfId="0" applyNumberFormat="1" applyFont="1" applyFill="1" applyBorder="1" applyAlignment="1">
      <alignment horizontal="left"/>
    </xf>
    <xf numFmtId="0" fontId="6" fillId="0" borderId="68" xfId="0" applyFont="1" applyBorder="1"/>
    <xf numFmtId="0" fontId="6" fillId="0" borderId="67" xfId="0" applyFont="1" applyBorder="1"/>
    <xf numFmtId="0" fontId="2" fillId="13" borderId="10" xfId="0" applyFont="1" applyFill="1" applyBorder="1" applyAlignment="1">
      <alignment horizontal="left"/>
    </xf>
    <xf numFmtId="0" fontId="2" fillId="13" borderId="11" xfId="0" applyFont="1" applyFill="1" applyBorder="1" applyAlignment="1">
      <alignment horizontal="left"/>
    </xf>
    <xf numFmtId="0" fontId="2" fillId="9" borderId="108" xfId="0" applyFont="1" applyFill="1" applyBorder="1" applyAlignment="1">
      <alignment horizontal="center" vertical="center"/>
    </xf>
    <xf numFmtId="0" fontId="2" fillId="9" borderId="109" xfId="0" applyFont="1" applyFill="1" applyBorder="1" applyAlignment="1">
      <alignment horizontal="center" vertical="center"/>
    </xf>
    <xf numFmtId="0" fontId="2" fillId="9" borderId="110" xfId="0" applyFont="1" applyFill="1" applyBorder="1" applyAlignment="1">
      <alignment horizontal="center" vertical="center"/>
    </xf>
    <xf numFmtId="0" fontId="2" fillId="9" borderId="104" xfId="0" applyFont="1" applyFill="1" applyBorder="1" applyAlignment="1">
      <alignment horizontal="center" vertical="center"/>
    </xf>
    <xf numFmtId="0" fontId="2" fillId="9" borderId="98" xfId="0" applyFont="1" applyFill="1" applyBorder="1" applyAlignment="1">
      <alignment horizontal="center" vertical="center"/>
    </xf>
    <xf numFmtId="0" fontId="6" fillId="8" borderId="120" xfId="0" applyFont="1" applyFill="1" applyBorder="1" applyAlignment="1">
      <alignment horizontal="center" vertical="center"/>
    </xf>
    <xf numFmtId="0" fontId="6" fillId="8" borderId="10" xfId="0" applyFont="1" applyFill="1" applyBorder="1" applyAlignment="1">
      <alignment horizontal="center" vertical="center"/>
    </xf>
    <xf numFmtId="165" fontId="6" fillId="8" borderId="18" xfId="0" applyNumberFormat="1" applyFont="1" applyFill="1" applyBorder="1" applyAlignment="1">
      <alignment horizontal="center" vertical="center"/>
    </xf>
    <xf numFmtId="0" fontId="15" fillId="11" borderId="141" xfId="0" applyFont="1" applyFill="1" applyBorder="1" applyAlignment="1">
      <alignment vertical="center"/>
    </xf>
    <xf numFmtId="0" fontId="2" fillId="9" borderId="142" xfId="0" applyFont="1" applyFill="1" applyBorder="1" applyAlignment="1">
      <alignment horizontal="center" vertical="center"/>
    </xf>
    <xf numFmtId="0" fontId="2" fillId="9" borderId="143" xfId="0" applyFont="1" applyFill="1" applyBorder="1" applyAlignment="1">
      <alignment horizontal="center" vertical="center"/>
    </xf>
    <xf numFmtId="0" fontId="15" fillId="11" borderId="144" xfId="0" applyFont="1" applyFill="1" applyBorder="1" applyAlignment="1">
      <alignment vertical="center"/>
    </xf>
    <xf numFmtId="0" fontId="2" fillId="9" borderId="145" xfId="0" applyFont="1" applyFill="1" applyBorder="1" applyAlignment="1">
      <alignment horizontal="center" vertical="center"/>
    </xf>
    <xf numFmtId="0" fontId="2" fillId="9" borderId="146" xfId="0" applyFont="1" applyFill="1" applyBorder="1" applyAlignment="1">
      <alignment horizontal="center" vertical="center"/>
    </xf>
    <xf numFmtId="0" fontId="2" fillId="9" borderId="141" xfId="0" applyFont="1" applyFill="1" applyBorder="1" applyAlignment="1">
      <alignment horizontal="center" vertical="center"/>
    </xf>
    <xf numFmtId="0" fontId="2" fillId="9" borderId="147" xfId="0" applyFont="1" applyFill="1" applyBorder="1" applyAlignment="1">
      <alignment horizontal="center" vertical="center"/>
    </xf>
    <xf numFmtId="0" fontId="2" fillId="9" borderId="148" xfId="0" applyFont="1" applyFill="1" applyBorder="1" applyAlignment="1">
      <alignment horizontal="center" vertical="center"/>
    </xf>
    <xf numFmtId="0" fontId="2" fillId="9" borderId="149" xfId="0" applyFont="1" applyFill="1" applyBorder="1" applyAlignment="1">
      <alignment horizontal="center" vertical="center"/>
    </xf>
    <xf numFmtId="0" fontId="2" fillId="9" borderId="144" xfId="0" applyFont="1" applyFill="1" applyBorder="1" applyAlignment="1">
      <alignment horizontal="center" vertical="center"/>
    </xf>
    <xf numFmtId="0" fontId="2" fillId="2" borderId="141" xfId="0" applyFont="1" applyFill="1" applyBorder="1" applyAlignment="1">
      <alignment vertical="center"/>
    </xf>
    <xf numFmtId="0" fontId="2" fillId="2" borderId="142" xfId="0" applyFont="1" applyFill="1" applyBorder="1" applyAlignment="1">
      <alignment vertical="center"/>
    </xf>
    <xf numFmtId="0" fontId="2" fillId="2" borderId="143" xfId="0" applyFont="1" applyFill="1" applyBorder="1" applyAlignment="1">
      <alignment vertical="center"/>
    </xf>
    <xf numFmtId="0" fontId="2" fillId="2" borderId="147" xfId="0" applyFont="1" applyFill="1" applyBorder="1" applyAlignment="1">
      <alignment vertical="center"/>
    </xf>
    <xf numFmtId="0" fontId="2" fillId="2" borderId="148" xfId="0" applyFont="1" applyFill="1" applyBorder="1" applyAlignment="1">
      <alignment vertical="center"/>
    </xf>
    <xf numFmtId="0" fontId="2" fillId="2" borderId="149" xfId="0" applyFont="1" applyFill="1" applyBorder="1" applyAlignment="1">
      <alignment vertical="center"/>
    </xf>
    <xf numFmtId="0" fontId="2" fillId="5" borderId="141" xfId="0" applyFont="1" applyFill="1" applyBorder="1" applyAlignment="1">
      <alignment horizontal="center" vertical="center"/>
    </xf>
    <xf numFmtId="0" fontId="2" fillId="5" borderId="143" xfId="0" applyFont="1" applyFill="1" applyBorder="1" applyAlignment="1">
      <alignment horizontal="center" vertical="center"/>
    </xf>
    <xf numFmtId="0" fontId="2" fillId="5" borderId="144" xfId="0" applyFont="1" applyFill="1" applyBorder="1" applyAlignment="1">
      <alignment horizontal="center" vertical="center"/>
    </xf>
    <xf numFmtId="0" fontId="2" fillId="5" borderId="146" xfId="0" applyFont="1" applyFill="1" applyBorder="1" applyAlignment="1">
      <alignment horizontal="center" vertical="center"/>
    </xf>
    <xf numFmtId="165" fontId="2" fillId="5" borderId="150" xfId="0" applyNumberFormat="1" applyFont="1" applyFill="1" applyBorder="1" applyAlignment="1">
      <alignment horizontal="center" vertical="center"/>
    </xf>
    <xf numFmtId="165" fontId="2" fillId="5" borderId="151" xfId="0" applyNumberFormat="1" applyFont="1" applyFill="1" applyBorder="1" applyAlignment="1">
      <alignment horizontal="center" vertical="center"/>
    </xf>
    <xf numFmtId="165" fontId="2" fillId="5" borderId="152" xfId="0" applyNumberFormat="1" applyFont="1" applyFill="1" applyBorder="1" applyAlignment="1">
      <alignment horizontal="center" vertical="center"/>
    </xf>
    <xf numFmtId="165" fontId="2" fillId="5" borderId="107" xfId="0" applyNumberFormat="1" applyFont="1" applyFill="1" applyBorder="1" applyAlignment="1">
      <alignment horizontal="center" vertical="center"/>
    </xf>
    <xf numFmtId="0" fontId="2" fillId="9" borderId="150" xfId="0" applyFont="1" applyFill="1" applyBorder="1" applyAlignment="1">
      <alignment vertical="center"/>
    </xf>
    <xf numFmtId="0" fontId="2" fillId="9" borderId="151" xfId="0" applyFont="1" applyFill="1" applyBorder="1" applyAlignment="1">
      <alignment vertical="center"/>
    </xf>
    <xf numFmtId="0" fontId="2" fillId="9" borderId="152" xfId="0" applyFont="1" applyFill="1" applyBorder="1" applyAlignment="1">
      <alignment vertical="center"/>
    </xf>
    <xf numFmtId="0" fontId="2" fillId="9" borderId="107" xfId="0" applyFont="1" applyFill="1" applyBorder="1" applyAlignment="1">
      <alignment vertical="center"/>
    </xf>
    <xf numFmtId="165" fontId="2" fillId="8" borderId="112" xfId="0" applyNumberFormat="1" applyFont="1" applyFill="1" applyBorder="1" applyAlignment="1">
      <alignment horizontal="center" vertical="center" wrapText="1"/>
    </xf>
    <xf numFmtId="0" fontId="2" fillId="8" borderId="112" xfId="0" applyFont="1" applyFill="1" applyBorder="1" applyAlignment="1">
      <alignment horizontal="center" vertical="center" wrapText="1"/>
    </xf>
    <xf numFmtId="0" fontId="2" fillId="8" borderId="67" xfId="0" applyFont="1" applyFill="1" applyBorder="1" applyAlignment="1">
      <alignment horizontal="center" vertical="center" wrapText="1"/>
    </xf>
    <xf numFmtId="165" fontId="2" fillId="8" borderId="118" xfId="0" applyNumberFormat="1" applyFont="1" applyFill="1" applyBorder="1" applyAlignment="1">
      <alignment horizontal="center" vertical="center" wrapText="1"/>
    </xf>
    <xf numFmtId="0" fontId="2" fillId="10" borderId="153" xfId="0" applyFont="1" applyFill="1" applyBorder="1" applyAlignment="1">
      <alignment vertical="center"/>
    </xf>
    <xf numFmtId="0" fontId="2" fillId="10" borderId="154" xfId="0" applyFont="1" applyFill="1" applyBorder="1" applyAlignment="1">
      <alignment horizontal="center" vertical="center"/>
    </xf>
    <xf numFmtId="0" fontId="2" fillId="10" borderId="155" xfId="0" applyFont="1" applyFill="1" applyBorder="1" applyAlignment="1">
      <alignment vertical="center"/>
    </xf>
    <xf numFmtId="0" fontId="2" fillId="8" borderId="123" xfId="0" applyFont="1" applyFill="1" applyBorder="1" applyAlignment="1">
      <alignment horizontal="center" vertical="center" wrapText="1"/>
    </xf>
    <xf numFmtId="165" fontId="2" fillId="8" borderId="123" xfId="0" applyNumberFormat="1" applyFont="1" applyFill="1" applyBorder="1" applyAlignment="1">
      <alignment horizontal="center" vertical="center" wrapText="1"/>
    </xf>
    <xf numFmtId="0" fontId="2" fillId="8" borderId="10" xfId="0" applyFont="1" applyFill="1" applyBorder="1" applyAlignment="1">
      <alignment horizontal="center" vertical="center" wrapText="1"/>
    </xf>
    <xf numFmtId="165" fontId="2" fillId="8" borderId="18" xfId="0" applyNumberFormat="1" applyFont="1" applyFill="1" applyBorder="1" applyAlignment="1">
      <alignment horizontal="center" vertical="center" wrapText="1"/>
    </xf>
    <xf numFmtId="165" fontId="2" fillId="8" borderId="123" xfId="0" applyNumberFormat="1" applyFont="1" applyFill="1" applyBorder="1" applyAlignment="1">
      <alignment horizontal="center" vertical="center"/>
    </xf>
    <xf numFmtId="0" fontId="2" fillId="8" borderId="123" xfId="0" applyFont="1" applyFill="1" applyBorder="1" applyAlignment="1">
      <alignment horizontal="center" vertical="center"/>
    </xf>
    <xf numFmtId="0" fontId="2" fillId="8" borderId="10" xfId="0" applyFont="1" applyFill="1" applyBorder="1" applyAlignment="1">
      <alignment horizontal="center" vertical="center"/>
    </xf>
    <xf numFmtId="49" fontId="2" fillId="8" borderId="123" xfId="0" applyNumberFormat="1" applyFont="1" applyFill="1" applyBorder="1" applyAlignment="1">
      <alignment horizontal="center" vertical="center" wrapText="1"/>
    </xf>
    <xf numFmtId="0" fontId="2" fillId="2" borderId="144" xfId="0" applyFont="1" applyFill="1" applyBorder="1" applyAlignment="1">
      <alignment vertical="center"/>
    </xf>
    <xf numFmtId="0" fontId="2" fillId="2" borderId="145" xfId="0" applyFont="1" applyFill="1" applyBorder="1" applyAlignment="1">
      <alignment vertical="center"/>
    </xf>
    <xf numFmtId="0" fontId="2" fillId="2" borderId="146" xfId="0" applyFont="1" applyFill="1" applyBorder="1" applyAlignment="1">
      <alignment vertical="center"/>
    </xf>
    <xf numFmtId="0" fontId="2" fillId="0" borderId="107" xfId="0" applyFont="1" applyBorder="1" applyAlignment="1">
      <alignment vertical="center" wrapText="1"/>
    </xf>
    <xf numFmtId="165" fontId="2" fillId="8" borderId="153" xfId="0" applyNumberFormat="1" applyFont="1" applyFill="1" applyBorder="1" applyAlignment="1">
      <alignment horizontal="center" vertical="center" wrapText="1"/>
    </xf>
    <xf numFmtId="165" fontId="2" fillId="8" borderId="154" xfId="0" applyNumberFormat="1" applyFont="1" applyFill="1" applyBorder="1" applyAlignment="1">
      <alignment horizontal="center" vertical="center" wrapText="1"/>
    </xf>
    <xf numFmtId="165" fontId="2" fillId="8" borderId="155" xfId="0" applyNumberFormat="1" applyFont="1" applyFill="1" applyBorder="1" applyAlignment="1">
      <alignment horizontal="center" vertical="center" wrapText="1"/>
    </xf>
    <xf numFmtId="0" fontId="2" fillId="2" borderId="156" xfId="0" applyFont="1" applyFill="1" applyBorder="1" applyAlignment="1">
      <alignment vertical="center"/>
    </xf>
    <xf numFmtId="0" fontId="2" fillId="2" borderId="157" xfId="0" applyFont="1" applyFill="1" applyBorder="1" applyAlignment="1">
      <alignment vertical="center"/>
    </xf>
    <xf numFmtId="0" fontId="2" fillId="10" borderId="141" xfId="0" applyFont="1" applyFill="1" applyBorder="1" applyAlignment="1">
      <alignment vertical="center"/>
    </xf>
    <xf numFmtId="0" fontId="2" fillId="10" borderId="142" xfId="0" applyFont="1" applyFill="1" applyBorder="1" applyAlignment="1">
      <alignment vertical="center"/>
    </xf>
    <xf numFmtId="0" fontId="2" fillId="10" borderId="143" xfId="0" applyFont="1" applyFill="1" applyBorder="1" applyAlignment="1">
      <alignment vertical="center"/>
    </xf>
    <xf numFmtId="0" fontId="2" fillId="10" borderId="147" xfId="0" applyFont="1" applyFill="1" applyBorder="1" applyAlignment="1">
      <alignment vertical="center"/>
    </xf>
    <xf numFmtId="0" fontId="2" fillId="10" borderId="148" xfId="0" applyFont="1" applyFill="1" applyBorder="1" applyAlignment="1">
      <alignment vertical="center"/>
    </xf>
    <xf numFmtId="0" fontId="2" fillId="10" borderId="149" xfId="0" applyFont="1" applyFill="1" applyBorder="1" applyAlignment="1">
      <alignment vertical="center"/>
    </xf>
    <xf numFmtId="0" fontId="2" fillId="10" borderId="144" xfId="0" applyFont="1" applyFill="1" applyBorder="1" applyAlignment="1">
      <alignment vertical="center"/>
    </xf>
    <xf numFmtId="0" fontId="2" fillId="10" borderId="145" xfId="0" applyFont="1" applyFill="1" applyBorder="1" applyAlignment="1">
      <alignment vertical="center"/>
    </xf>
    <xf numFmtId="0" fontId="2" fillId="10" borderId="146" xfId="0" applyFont="1" applyFill="1" applyBorder="1" applyAlignment="1">
      <alignment vertical="center"/>
    </xf>
    <xf numFmtId="1" fontId="2" fillId="2" borderId="153" xfId="0" applyNumberFormat="1" applyFont="1" applyFill="1" applyBorder="1" applyAlignment="1">
      <alignment horizontal="right" vertical="center"/>
    </xf>
    <xf numFmtId="0" fontId="2" fillId="2" borderId="154" xfId="0" applyFont="1" applyFill="1" applyBorder="1" applyAlignment="1">
      <alignment horizontal="right" vertical="center"/>
    </xf>
    <xf numFmtId="1" fontId="2" fillId="2" borderId="155" xfId="0" applyNumberFormat="1" applyFont="1" applyFill="1" applyBorder="1" applyAlignment="1">
      <alignment horizontal="right" vertical="center"/>
    </xf>
    <xf numFmtId="0" fontId="2" fillId="2" borderId="155" xfId="0" applyFont="1" applyFill="1" applyBorder="1" applyAlignment="1">
      <alignment horizontal="right" vertical="center"/>
    </xf>
    <xf numFmtId="0" fontId="2" fillId="10" borderId="141" xfId="0" applyFont="1" applyFill="1" applyBorder="1" applyAlignment="1">
      <alignment horizontal="left" vertical="center"/>
    </xf>
    <xf numFmtId="0" fontId="2" fillId="10" borderId="143" xfId="0" applyFont="1" applyFill="1" applyBorder="1" applyAlignment="1">
      <alignment horizontal="left" vertical="center"/>
    </xf>
    <xf numFmtId="0" fontId="2" fillId="10" borderId="147" xfId="0" applyFont="1" applyFill="1" applyBorder="1" applyAlignment="1">
      <alignment horizontal="left" vertical="center"/>
    </xf>
    <xf numFmtId="0" fontId="2" fillId="10" borderId="149" xfId="0" applyFont="1" applyFill="1" applyBorder="1" applyAlignment="1">
      <alignment horizontal="left" vertical="center"/>
    </xf>
    <xf numFmtId="0" fontId="2" fillId="10" borderId="144" xfId="0" applyFont="1" applyFill="1" applyBorder="1" applyAlignment="1">
      <alignment horizontal="left" vertical="center"/>
    </xf>
    <xf numFmtId="0" fontId="2" fillId="10" borderId="146" xfId="0" applyFont="1" applyFill="1" applyBorder="1" applyAlignment="1">
      <alignment horizontal="left" vertical="center"/>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165" fontId="2" fillId="8" borderId="1" xfId="0" applyNumberFormat="1" applyFont="1" applyFill="1" applyBorder="1" applyAlignment="1">
      <alignment horizontal="center" vertical="center"/>
    </xf>
    <xf numFmtId="0" fontId="2" fillId="8" borderId="3" xfId="0" applyFont="1" applyFill="1" applyBorder="1" applyAlignment="1">
      <alignment horizontal="center" vertical="center"/>
    </xf>
    <xf numFmtId="0" fontId="15" fillId="0" borderId="58" xfId="0" applyFont="1" applyBorder="1" applyAlignment="1">
      <alignment horizontal="center" vertical="center"/>
    </xf>
    <xf numFmtId="165" fontId="15" fillId="3" borderId="58" xfId="0" applyNumberFormat="1" applyFont="1" applyFill="1" applyBorder="1" applyAlignment="1">
      <alignment horizontal="center" vertical="center"/>
    </xf>
    <xf numFmtId="0" fontId="15" fillId="3" borderId="64" xfId="0" applyFont="1" applyFill="1" applyBorder="1" applyAlignment="1">
      <alignment horizontal="left" vertical="center"/>
    </xf>
    <xf numFmtId="165" fontId="15" fillId="0" borderId="58" xfId="0" applyNumberFormat="1" applyFont="1" applyBorder="1" applyAlignment="1">
      <alignment horizontal="center" vertical="center"/>
    </xf>
    <xf numFmtId="0" fontId="15" fillId="0" borderId="64" xfId="0" applyFont="1" applyBorder="1" applyAlignment="1">
      <alignment horizontal="center" vertical="center"/>
    </xf>
    <xf numFmtId="0" fontId="2" fillId="8" borderId="2" xfId="0" applyFont="1" applyFill="1" applyBorder="1" applyAlignment="1">
      <alignment horizontal="center" vertical="center" wrapText="1"/>
    </xf>
    <xf numFmtId="1" fontId="2" fillId="10" borderId="150" xfId="0" applyNumberFormat="1" applyFont="1" applyFill="1" applyBorder="1" applyAlignment="1">
      <alignment vertical="center"/>
    </xf>
    <xf numFmtId="1" fontId="2" fillId="10" borderId="151" xfId="0" applyNumberFormat="1" applyFont="1" applyFill="1" applyBorder="1" applyAlignment="1">
      <alignment vertical="center"/>
    </xf>
    <xf numFmtId="1" fontId="2" fillId="10" borderId="152" xfId="0" applyNumberFormat="1" applyFont="1" applyFill="1" applyBorder="1" applyAlignment="1">
      <alignment vertical="center"/>
    </xf>
    <xf numFmtId="0" fontId="2" fillId="10" borderId="152" xfId="0" applyFont="1" applyFill="1" applyBorder="1" applyAlignment="1">
      <alignment horizontal="left" vertical="center"/>
    </xf>
    <xf numFmtId="0" fontId="2" fillId="0" borderId="158" xfId="0" applyFont="1" applyBorder="1" applyAlignment="1">
      <alignment horizontal="center" vertical="center"/>
    </xf>
    <xf numFmtId="0" fontId="2" fillId="0" borderId="65" xfId="0" quotePrefix="1" applyFont="1" applyBorder="1" applyAlignment="1">
      <alignment horizontal="center" vertical="center"/>
    </xf>
    <xf numFmtId="0" fontId="2" fillId="8" borderId="72" xfId="0" applyFont="1" applyFill="1" applyBorder="1" applyAlignment="1">
      <alignment horizontal="center" vertical="center"/>
    </xf>
    <xf numFmtId="0" fontId="2" fillId="9" borderId="113" xfId="0" applyFont="1" applyFill="1" applyBorder="1" applyAlignment="1">
      <alignment horizontal="center" vertical="center"/>
    </xf>
    <xf numFmtId="0" fontId="2" fillId="9" borderId="159" xfId="0" applyFont="1" applyFill="1" applyBorder="1" applyAlignment="1">
      <alignment horizontal="center" vertical="center"/>
    </xf>
    <xf numFmtId="0" fontId="2" fillId="3" borderId="160" xfId="0" applyFont="1" applyFill="1" applyBorder="1" applyAlignment="1">
      <alignment horizontal="center" vertical="center"/>
    </xf>
    <xf numFmtId="165" fontId="2" fillId="5" borderId="113" xfId="0" applyNumberFormat="1" applyFont="1" applyFill="1" applyBorder="1" applyAlignment="1">
      <alignment horizontal="center" vertical="center"/>
    </xf>
    <xf numFmtId="165" fontId="2" fillId="5" borderId="159" xfId="0" applyNumberFormat="1" applyFont="1" applyFill="1" applyBorder="1" applyAlignment="1">
      <alignment horizontal="center" vertical="center"/>
    </xf>
    <xf numFmtId="165" fontId="2" fillId="0" borderId="161" xfId="0" applyNumberFormat="1" applyFont="1" applyBorder="1" applyAlignment="1">
      <alignment horizontal="center" vertical="center"/>
    </xf>
    <xf numFmtId="165" fontId="2" fillId="5" borderId="160" xfId="0" applyNumberFormat="1" applyFont="1" applyFill="1" applyBorder="1" applyAlignment="1">
      <alignment horizontal="center" vertical="center"/>
    </xf>
    <xf numFmtId="0" fontId="2" fillId="9" borderId="162" xfId="0" applyFont="1" applyFill="1" applyBorder="1" applyAlignment="1">
      <alignment horizontal="center" vertical="center"/>
    </xf>
    <xf numFmtId="0" fontId="2" fillId="9" borderId="160" xfId="0" applyFont="1" applyFill="1" applyBorder="1" applyAlignment="1">
      <alignment horizontal="center" vertical="center"/>
    </xf>
    <xf numFmtId="0" fontId="15" fillId="3" borderId="6" xfId="0" applyFont="1" applyFill="1" applyBorder="1" applyAlignment="1">
      <alignment horizontal="center" vertical="center"/>
    </xf>
    <xf numFmtId="0" fontId="2" fillId="9" borderId="114" xfId="0" applyFont="1" applyFill="1" applyBorder="1" applyAlignment="1">
      <alignment horizontal="center" vertical="center"/>
    </xf>
    <xf numFmtId="0" fontId="2" fillId="3" borderId="62" xfId="0" applyFont="1" applyFill="1" applyBorder="1" applyAlignment="1">
      <alignment horizontal="center" vertical="center"/>
    </xf>
    <xf numFmtId="165" fontId="2" fillId="3" borderId="107" xfId="0" applyNumberFormat="1" applyFont="1" applyFill="1" applyBorder="1" applyAlignment="1">
      <alignment horizontal="center" vertical="center"/>
    </xf>
    <xf numFmtId="165" fontId="2" fillId="0" borderId="71" xfId="0" applyNumberFormat="1" applyFont="1" applyBorder="1" applyAlignment="1">
      <alignment horizontal="center" vertical="center"/>
    </xf>
    <xf numFmtId="0" fontId="2" fillId="0" borderId="150" xfId="0" applyFont="1" applyBorder="1" applyAlignment="1">
      <alignment vertical="center"/>
    </xf>
    <xf numFmtId="0" fontId="2" fillId="0" borderId="151" xfId="0" applyFont="1" applyBorder="1" applyAlignment="1">
      <alignment vertical="center"/>
    </xf>
    <xf numFmtId="0" fontId="2" fillId="0" borderId="152" xfId="0" applyFont="1" applyBorder="1" applyAlignment="1">
      <alignment vertical="center"/>
    </xf>
    <xf numFmtId="0" fontId="2" fillId="8" borderId="21" xfId="0" applyFont="1" applyFill="1" applyBorder="1" applyAlignment="1">
      <alignment horizontal="center" vertical="center" wrapText="1"/>
    </xf>
    <xf numFmtId="0" fontId="2" fillId="8" borderId="20" xfId="0" applyFont="1" applyFill="1" applyBorder="1" applyAlignment="1">
      <alignment horizontal="center" vertical="center"/>
    </xf>
    <xf numFmtId="165" fontId="2" fillId="8" borderId="3" xfId="0" applyNumberFormat="1" applyFont="1" applyFill="1" applyBorder="1" applyAlignment="1">
      <alignment horizontal="center" vertical="center"/>
    </xf>
    <xf numFmtId="2" fontId="10" fillId="8" borderId="1" xfId="0" applyNumberFormat="1" applyFont="1" applyFill="1" applyBorder="1" applyAlignment="1">
      <alignment horizontal="center" vertical="center"/>
    </xf>
    <xf numFmtId="2" fontId="10" fillId="8" borderId="1" xfId="0" applyNumberFormat="1" applyFont="1" applyFill="1" applyBorder="1" applyAlignment="1">
      <alignment horizontal="center" vertical="center" wrapText="1"/>
    </xf>
    <xf numFmtId="2" fontId="10" fillId="8" borderId="2" xfId="0" applyNumberFormat="1" applyFont="1" applyFill="1" applyBorder="1" applyAlignment="1">
      <alignment horizontal="center" vertical="center" wrapText="1"/>
    </xf>
    <xf numFmtId="2" fontId="10" fillId="8" borderId="3" xfId="0" applyNumberFormat="1" applyFont="1" applyFill="1" applyBorder="1" applyAlignment="1">
      <alignment horizontal="center" vertical="center"/>
    </xf>
    <xf numFmtId="0" fontId="2" fillId="8" borderId="29" xfId="0" applyFont="1" applyFill="1" applyBorder="1" applyAlignment="1">
      <alignment horizontal="center" vertical="center"/>
    </xf>
    <xf numFmtId="0" fontId="2" fillId="8" borderId="29" xfId="0" applyFont="1" applyFill="1" applyBorder="1" applyAlignment="1">
      <alignment horizontal="center" vertical="center" wrapText="1"/>
    </xf>
    <xf numFmtId="0" fontId="2" fillId="8" borderId="140" xfId="0" applyFont="1" applyFill="1" applyBorder="1" applyAlignment="1">
      <alignment horizontal="center" vertical="center" wrapText="1"/>
    </xf>
    <xf numFmtId="0" fontId="2" fillId="8" borderId="140" xfId="0" applyFont="1" applyFill="1" applyBorder="1" applyAlignment="1">
      <alignment horizontal="center" vertical="center"/>
    </xf>
    <xf numFmtId="0" fontId="2" fillId="0" borderId="77" xfId="0" applyFont="1" applyBorder="1" applyAlignment="1">
      <alignment horizontal="center" vertical="center"/>
    </xf>
    <xf numFmtId="164" fontId="2" fillId="0" borderId="65" xfId="0" quotePrefix="1" applyNumberFormat="1" applyFont="1" applyBorder="1" applyAlignment="1">
      <alignment horizontal="center" vertical="center"/>
    </xf>
    <xf numFmtId="0" fontId="2" fillId="9" borderId="163" xfId="0" applyFont="1" applyFill="1" applyBorder="1" applyAlignment="1">
      <alignment horizontal="center" vertical="center"/>
    </xf>
    <xf numFmtId="0" fontId="2" fillId="3" borderId="119" xfId="0" applyFont="1" applyFill="1" applyBorder="1" applyAlignment="1">
      <alignment horizontal="center" vertical="center"/>
    </xf>
    <xf numFmtId="0" fontId="10" fillId="0" borderId="164" xfId="0" applyFont="1" applyBorder="1" applyAlignment="1">
      <alignment horizontal="center" vertical="center"/>
    </xf>
    <xf numFmtId="0" fontId="2" fillId="0" borderId="72" xfId="0" applyFont="1" applyBorder="1" applyAlignment="1">
      <alignment horizontal="center" vertical="center"/>
    </xf>
    <xf numFmtId="0" fontId="2" fillId="0" borderId="164" xfId="0" applyFont="1" applyBorder="1" applyAlignment="1">
      <alignment horizontal="center" vertical="center"/>
    </xf>
    <xf numFmtId="0" fontId="2" fillId="9" borderId="165" xfId="0" applyFont="1" applyFill="1" applyBorder="1" applyAlignment="1">
      <alignment horizontal="center" vertical="center"/>
    </xf>
    <xf numFmtId="0" fontId="2" fillId="0" borderId="166" xfId="0" applyFont="1" applyBorder="1" applyAlignment="1">
      <alignment horizontal="center" vertical="center"/>
    </xf>
    <xf numFmtId="0" fontId="2" fillId="8" borderId="167" xfId="0" applyFont="1" applyFill="1" applyBorder="1" applyAlignment="1">
      <alignment horizontal="center" vertical="center" wrapText="1"/>
    </xf>
    <xf numFmtId="165" fontId="2" fillId="8" borderId="72" xfId="0" applyNumberFormat="1" applyFont="1" applyFill="1" applyBorder="1" applyAlignment="1">
      <alignment horizontal="center" vertical="center"/>
    </xf>
    <xf numFmtId="0" fontId="2" fillId="6" borderId="168" xfId="0" applyFont="1" applyFill="1" applyBorder="1" applyAlignment="1">
      <alignment horizontal="center" vertical="center"/>
    </xf>
    <xf numFmtId="0" fontId="2" fillId="6" borderId="109" xfId="0" applyFont="1" applyFill="1" applyBorder="1" applyAlignment="1">
      <alignment horizontal="center" vertical="center"/>
    </xf>
    <xf numFmtId="0" fontId="2" fillId="6" borderId="169"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170" xfId="0" applyFont="1" applyFill="1" applyBorder="1" applyAlignment="1">
      <alignment horizontal="center" vertical="center"/>
    </xf>
    <xf numFmtId="0" fontId="2" fillId="6" borderId="104" xfId="0" applyFont="1" applyFill="1" applyBorder="1" applyAlignment="1">
      <alignment horizontal="center" vertical="center"/>
    </xf>
    <xf numFmtId="0" fontId="2" fillId="8" borderId="112" xfId="0" applyFont="1" applyFill="1" applyBorder="1" applyAlignment="1">
      <alignment horizontal="center" vertical="center"/>
    </xf>
    <xf numFmtId="165" fontId="2" fillId="3" borderId="32" xfId="0" applyNumberFormat="1" applyFont="1" applyFill="1" applyBorder="1" applyAlignment="1">
      <alignment horizontal="center" vertical="center"/>
    </xf>
    <xf numFmtId="0" fontId="2" fillId="8" borderId="171" xfId="0" applyFont="1" applyFill="1" applyBorder="1" applyAlignment="1">
      <alignment horizontal="center" vertical="center" wrapText="1"/>
    </xf>
    <xf numFmtId="165" fontId="2" fillId="8" borderId="112" xfId="0" applyNumberFormat="1" applyFont="1" applyFill="1" applyBorder="1" applyAlignment="1">
      <alignment horizontal="center" vertical="center"/>
    </xf>
    <xf numFmtId="0" fontId="2" fillId="0" borderId="172" xfId="0" applyFont="1" applyBorder="1" applyAlignment="1">
      <alignment horizontal="center" vertical="center"/>
    </xf>
    <xf numFmtId="2" fontId="2" fillId="0" borderId="65" xfId="0" applyNumberFormat="1" applyFont="1" applyBorder="1" applyAlignment="1">
      <alignment horizontal="center" vertical="center"/>
    </xf>
    <xf numFmtId="0" fontId="2" fillId="0" borderId="72" xfId="0" applyFont="1" applyBorder="1" applyAlignment="1">
      <alignment vertical="center"/>
    </xf>
    <xf numFmtId="165" fontId="2" fillId="9" borderId="160" xfId="0" applyNumberFormat="1" applyFont="1" applyFill="1" applyBorder="1" applyAlignment="1">
      <alignment horizontal="center" vertical="center"/>
    </xf>
    <xf numFmtId="165" fontId="2" fillId="0" borderId="87" xfId="0" applyNumberFormat="1" applyFont="1" applyBorder="1" applyAlignment="1">
      <alignment horizontal="center" vertical="center"/>
    </xf>
    <xf numFmtId="0" fontId="2" fillId="0" borderId="167" xfId="0" applyFont="1" applyBorder="1" applyAlignment="1">
      <alignment horizontal="center" vertical="center"/>
    </xf>
    <xf numFmtId="0" fontId="2" fillId="3" borderId="72" xfId="0" applyFont="1" applyFill="1" applyBorder="1" applyAlignment="1">
      <alignment horizontal="center" vertical="center"/>
    </xf>
    <xf numFmtId="2" fontId="2" fillId="0" borderId="72"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62" xfId="0" applyNumberFormat="1" applyFont="1" applyBorder="1" applyAlignment="1">
      <alignment horizontal="center" vertical="center"/>
    </xf>
    <xf numFmtId="165" fontId="2" fillId="0" borderId="173" xfId="0" applyNumberFormat="1" applyFont="1" applyBorder="1" applyAlignment="1">
      <alignment horizontal="center" vertical="center"/>
    </xf>
    <xf numFmtId="0" fontId="2" fillId="6" borderId="16" xfId="0" applyFont="1" applyFill="1" applyBorder="1" applyAlignment="1">
      <alignment horizontal="center" vertical="center"/>
    </xf>
    <xf numFmtId="0" fontId="2" fillId="6" borderId="129" xfId="0" applyFont="1" applyFill="1" applyBorder="1" applyAlignment="1">
      <alignment horizontal="center" vertical="center"/>
    </xf>
    <xf numFmtId="0" fontId="2" fillId="8" borderId="72" xfId="0" applyFont="1" applyFill="1" applyBorder="1" applyAlignment="1">
      <alignment horizontal="center" vertical="center" wrapText="1"/>
    </xf>
    <xf numFmtId="0" fontId="2" fillId="9" borderId="174" xfId="0" applyFont="1" applyFill="1" applyBorder="1" applyAlignment="1">
      <alignment horizontal="center" vertical="center"/>
    </xf>
    <xf numFmtId="0" fontId="2" fillId="9" borderId="23" xfId="0" applyFont="1" applyFill="1" applyBorder="1" applyAlignment="1">
      <alignment horizontal="center" vertical="center"/>
    </xf>
    <xf numFmtId="0" fontId="2" fillId="12" borderId="107" xfId="0" applyFont="1" applyFill="1" applyBorder="1"/>
    <xf numFmtId="0" fontId="6" fillId="0" borderId="0" xfId="0" applyFont="1" applyAlignment="1">
      <alignment vertical="center"/>
    </xf>
    <xf numFmtId="1" fontId="2" fillId="0" borderId="0" xfId="0" applyNumberFormat="1" applyFont="1"/>
    <xf numFmtId="165" fontId="2" fillId="10" borderId="0" xfId="0" applyNumberFormat="1" applyFont="1" applyFill="1"/>
    <xf numFmtId="165" fontId="2" fillId="10" borderId="7" xfId="0" applyNumberFormat="1" applyFont="1" applyFill="1" applyBorder="1"/>
    <xf numFmtId="165" fontId="6" fillId="10" borderId="7" xfId="0" applyNumberFormat="1" applyFont="1" applyFill="1" applyBorder="1"/>
    <xf numFmtId="1" fontId="2" fillId="10" borderId="114" xfId="0" applyNumberFormat="1" applyFont="1" applyFill="1" applyBorder="1" applyAlignment="1">
      <alignment vertical="center"/>
    </xf>
    <xf numFmtId="1" fontId="2" fillId="10" borderId="119" xfId="0" applyNumberFormat="1" applyFont="1" applyFill="1" applyBorder="1" applyAlignment="1">
      <alignment vertical="center"/>
    </xf>
    <xf numFmtId="1" fontId="2" fillId="10" borderId="98" xfId="0" applyNumberFormat="1" applyFont="1" applyFill="1" applyBorder="1" applyAlignment="1">
      <alignment vertical="center"/>
    </xf>
    <xf numFmtId="0" fontId="2" fillId="10" borderId="9" xfId="0" applyFont="1" applyFill="1" applyBorder="1" applyAlignment="1">
      <alignment vertical="center"/>
    </xf>
    <xf numFmtId="0" fontId="2" fillId="10" borderId="10" xfId="0" applyFont="1" applyFill="1" applyBorder="1" applyAlignment="1">
      <alignment vertical="center"/>
    </xf>
    <xf numFmtId="1" fontId="2" fillId="10" borderId="11" xfId="0" applyNumberFormat="1" applyFont="1" applyFill="1" applyBorder="1" applyAlignment="1">
      <alignment vertical="center"/>
    </xf>
    <xf numFmtId="0" fontId="2" fillId="0" borderId="107" xfId="0" applyFont="1" applyBorder="1" applyAlignment="1">
      <alignment horizontal="center" vertical="center"/>
    </xf>
    <xf numFmtId="0" fontId="2" fillId="6" borderId="175" xfId="0" applyFont="1" applyFill="1" applyBorder="1" applyAlignment="1">
      <alignment horizontal="center" vertical="center"/>
    </xf>
    <xf numFmtId="0" fontId="2" fillId="6" borderId="56" xfId="0" applyFont="1" applyFill="1" applyBorder="1" applyAlignment="1">
      <alignment horizontal="center" vertical="center"/>
    </xf>
    <xf numFmtId="165" fontId="2" fillId="5" borderId="176" xfId="0" applyNumberFormat="1" applyFont="1" applyFill="1" applyBorder="1" applyAlignment="1">
      <alignment horizontal="center" vertical="center"/>
    </xf>
    <xf numFmtId="0" fontId="2" fillId="0" borderId="176" xfId="0" applyFont="1" applyBorder="1" applyAlignment="1">
      <alignment vertical="center"/>
    </xf>
    <xf numFmtId="0" fontId="2" fillId="9" borderId="176" xfId="0" applyFont="1" applyFill="1" applyBorder="1" applyAlignment="1">
      <alignment vertical="center"/>
    </xf>
    <xf numFmtId="0" fontId="6" fillId="8" borderId="140" xfId="0" applyFont="1" applyFill="1" applyBorder="1" applyAlignment="1">
      <alignment vertical="center"/>
    </xf>
    <xf numFmtId="0" fontId="4" fillId="8" borderId="140" xfId="0" applyFont="1" applyFill="1" applyBorder="1" applyAlignment="1">
      <alignment vertical="center"/>
    </xf>
    <xf numFmtId="0" fontId="2" fillId="8" borderId="70" xfId="0" applyFont="1" applyFill="1" applyBorder="1" applyAlignment="1">
      <alignment horizontal="center" vertical="center" wrapText="1"/>
    </xf>
    <xf numFmtId="165" fontId="2" fillId="8" borderId="29" xfId="0" applyNumberFormat="1" applyFont="1" applyFill="1" applyBorder="1" applyAlignment="1">
      <alignment horizontal="center" vertical="center"/>
    </xf>
    <xf numFmtId="165" fontId="2" fillId="8" borderId="140" xfId="0" applyNumberFormat="1" applyFont="1" applyFill="1" applyBorder="1" applyAlignment="1">
      <alignment horizontal="center" vertical="center"/>
    </xf>
    <xf numFmtId="0" fontId="5" fillId="8" borderId="7" xfId="0" applyFont="1" applyFill="1" applyBorder="1" applyAlignment="1">
      <alignment vertical="center"/>
    </xf>
    <xf numFmtId="0" fontId="2" fillId="10" borderId="11" xfId="0" applyFont="1" applyFill="1" applyBorder="1" applyAlignment="1">
      <alignment vertical="center"/>
    </xf>
    <xf numFmtId="0" fontId="6" fillId="0" borderId="80" xfId="0" applyFont="1" applyBorder="1"/>
    <xf numFmtId="0" fontId="2" fillId="0" borderId="59" xfId="0" applyFont="1" applyBorder="1" applyAlignment="1">
      <alignment horizontal="center" vertical="center"/>
    </xf>
    <xf numFmtId="0" fontId="2" fillId="9" borderId="177" xfId="0" applyFont="1" applyFill="1" applyBorder="1" applyAlignment="1">
      <alignment horizontal="center" vertical="center"/>
    </xf>
    <xf numFmtId="0" fontId="2" fillId="9" borderId="178" xfId="0" applyFont="1" applyFill="1" applyBorder="1" applyAlignment="1">
      <alignment horizontal="center" vertical="center"/>
    </xf>
    <xf numFmtId="0" fontId="2" fillId="9" borderId="179" xfId="0" applyFont="1" applyFill="1" applyBorder="1" applyAlignment="1">
      <alignment horizontal="center" vertical="center"/>
    </xf>
    <xf numFmtId="0" fontId="2" fillId="9" borderId="180" xfId="0" applyFont="1" applyFill="1" applyBorder="1" applyAlignment="1">
      <alignment horizontal="center" vertical="center"/>
    </xf>
    <xf numFmtId="0" fontId="2" fillId="9" borderId="150" xfId="0" applyFont="1" applyFill="1" applyBorder="1" applyAlignment="1">
      <alignment horizontal="center" vertical="center"/>
    </xf>
    <xf numFmtId="0" fontId="2" fillId="9" borderId="152" xfId="0" applyFont="1" applyFill="1" applyBorder="1" applyAlignment="1">
      <alignment horizontal="center" vertical="center"/>
    </xf>
    <xf numFmtId="0" fontId="2" fillId="9" borderId="181" xfId="0" applyFont="1" applyFill="1" applyBorder="1" applyAlignment="1">
      <alignment horizontal="center" vertical="center"/>
    </xf>
    <xf numFmtId="0" fontId="2" fillId="9" borderId="182" xfId="0" applyFont="1" applyFill="1" applyBorder="1" applyAlignment="1">
      <alignment horizontal="center" vertical="center"/>
    </xf>
    <xf numFmtId="0" fontId="2" fillId="2" borderId="150" xfId="0" applyFont="1" applyFill="1" applyBorder="1" applyAlignment="1">
      <alignment vertical="center"/>
    </xf>
    <xf numFmtId="0" fontId="2" fillId="2" borderId="152" xfId="0" applyFont="1" applyFill="1" applyBorder="1" applyAlignment="1">
      <alignment vertical="center"/>
    </xf>
    <xf numFmtId="0" fontId="2" fillId="6" borderId="9" xfId="0" applyFont="1" applyFill="1" applyBorder="1" applyAlignment="1">
      <alignment horizontal="center" vertical="center"/>
    </xf>
    <xf numFmtId="165" fontId="2" fillId="8" borderId="183" xfId="0" applyNumberFormat="1" applyFont="1" applyFill="1" applyBorder="1" applyAlignment="1">
      <alignment horizontal="center" vertical="center" wrapText="1"/>
    </xf>
    <xf numFmtId="0" fontId="14" fillId="8" borderId="183" xfId="0" applyFont="1" applyFill="1" applyBorder="1" applyAlignment="1">
      <alignment vertical="center"/>
    </xf>
    <xf numFmtId="165" fontId="2" fillId="5" borderId="183" xfId="0" applyNumberFormat="1" applyFont="1" applyFill="1" applyBorder="1" applyAlignment="1">
      <alignment horizontal="center" vertical="center"/>
    </xf>
    <xf numFmtId="0" fontId="2" fillId="0" borderId="183" xfId="0" applyFont="1" applyBorder="1" applyAlignment="1">
      <alignment vertical="center"/>
    </xf>
    <xf numFmtId="0" fontId="2" fillId="9" borderId="183" xfId="0" applyFont="1" applyFill="1" applyBorder="1" applyAlignment="1">
      <alignment vertical="center"/>
    </xf>
    <xf numFmtId="165" fontId="2" fillId="0" borderId="183" xfId="0" applyNumberFormat="1" applyFont="1" applyBorder="1" applyAlignment="1">
      <alignment horizontal="center" vertical="center"/>
    </xf>
    <xf numFmtId="165" fontId="2" fillId="0" borderId="183" xfId="0" applyNumberFormat="1" applyFont="1" applyBorder="1" applyAlignment="1">
      <alignment vertical="center"/>
    </xf>
    <xf numFmtId="0" fontId="2" fillId="0" borderId="183" xfId="0" applyFont="1" applyBorder="1" applyAlignment="1">
      <alignment horizontal="center" vertical="center"/>
    </xf>
    <xf numFmtId="165" fontId="2" fillId="2" borderId="183" xfId="0" applyNumberFormat="1" applyFont="1" applyFill="1" applyBorder="1" applyAlignment="1">
      <alignment horizontal="center" vertical="center"/>
    </xf>
    <xf numFmtId="2" fontId="2" fillId="0" borderId="183" xfId="0" applyNumberFormat="1" applyFont="1" applyBorder="1" applyAlignment="1">
      <alignment horizontal="center" vertical="center"/>
    </xf>
    <xf numFmtId="165" fontId="2" fillId="8" borderId="184" xfId="0" applyNumberFormat="1" applyFont="1" applyFill="1" applyBorder="1" applyAlignment="1">
      <alignment horizontal="center" vertical="center" wrapText="1"/>
    </xf>
    <xf numFmtId="0" fontId="14" fillId="8" borderId="184" xfId="0" applyFont="1" applyFill="1" applyBorder="1" applyAlignment="1">
      <alignment vertical="center"/>
    </xf>
    <xf numFmtId="165" fontId="2" fillId="0" borderId="185" xfId="0" applyNumberFormat="1" applyFont="1" applyBorder="1" applyAlignment="1">
      <alignment horizontal="center" vertical="center"/>
    </xf>
    <xf numFmtId="0" fontId="2" fillId="0" borderId="185" xfId="0" applyFont="1" applyBorder="1" applyAlignment="1">
      <alignment vertical="center"/>
    </xf>
    <xf numFmtId="165" fontId="2" fillId="8" borderId="185" xfId="0" applyNumberFormat="1" applyFont="1" applyFill="1" applyBorder="1" applyAlignment="1">
      <alignment horizontal="center" vertical="center" wrapText="1"/>
    </xf>
    <xf numFmtId="0" fontId="2" fillId="0" borderId="185" xfId="0" applyFont="1" applyBorder="1" applyAlignment="1">
      <alignment horizontal="center" vertical="center"/>
    </xf>
    <xf numFmtId="165" fontId="15" fillId="0" borderId="183" xfId="0" applyNumberFormat="1" applyFont="1" applyBorder="1" applyAlignment="1">
      <alignment horizontal="center" vertical="center"/>
    </xf>
    <xf numFmtId="0" fontId="15" fillId="0" borderId="183" xfId="0" applyFont="1" applyBorder="1" applyAlignment="1">
      <alignment vertical="center"/>
    </xf>
    <xf numFmtId="165" fontId="2" fillId="3" borderId="183" xfId="0" applyNumberFormat="1" applyFont="1" applyFill="1" applyBorder="1" applyAlignment="1">
      <alignment horizontal="center" vertical="center"/>
    </xf>
    <xf numFmtId="0" fontId="20" fillId="0" borderId="0" xfId="0" applyFont="1" applyAlignment="1">
      <alignment horizontal="right"/>
    </xf>
    <xf numFmtId="0" fontId="2" fillId="8" borderId="15" xfId="0" applyFont="1" applyFill="1" applyBorder="1" applyAlignment="1">
      <alignment horizontal="left" vertical="center"/>
    </xf>
    <xf numFmtId="0" fontId="2" fillId="8" borderId="3" xfId="0" applyFont="1" applyFill="1" applyBorder="1" applyAlignment="1">
      <alignment horizontal="left" vertical="center"/>
    </xf>
    <xf numFmtId="0" fontId="2" fillId="8" borderId="13" xfId="0" applyFont="1" applyFill="1" applyBorder="1" applyAlignment="1">
      <alignment horizontal="left" vertical="center"/>
    </xf>
    <xf numFmtId="0" fontId="1" fillId="3" borderId="15" xfId="0" applyFont="1" applyFill="1" applyBorder="1" applyAlignment="1">
      <alignment horizontal="left" vertical="center"/>
    </xf>
    <xf numFmtId="0" fontId="1" fillId="3" borderId="3" xfId="0" applyFont="1" applyFill="1" applyBorder="1" applyAlignment="1">
      <alignment horizontal="left" vertical="center"/>
    </xf>
    <xf numFmtId="0" fontId="1" fillId="3" borderId="13" xfId="0" applyFont="1" applyFill="1" applyBorder="1" applyAlignment="1">
      <alignment horizontal="left" vertical="center"/>
    </xf>
    <xf numFmtId="0" fontId="0" fillId="3" borderId="68" xfId="0" applyFill="1" applyBorder="1" applyAlignment="1">
      <alignment vertical="top" wrapText="1"/>
    </xf>
    <xf numFmtId="0" fontId="0" fillId="3" borderId="67" xfId="0" applyFill="1" applyBorder="1" applyAlignment="1">
      <alignment vertical="top" wrapText="1"/>
    </xf>
    <xf numFmtId="0" fontId="0" fillId="3" borderId="80" xfId="0" applyFill="1" applyBorder="1" applyAlignment="1">
      <alignment vertical="top" wrapText="1"/>
    </xf>
    <xf numFmtId="0" fontId="0" fillId="3" borderId="60" xfId="0" applyFill="1" applyBorder="1" applyAlignment="1">
      <alignment vertical="top" wrapText="1"/>
    </xf>
    <xf numFmtId="0" fontId="0" fillId="3" borderId="0" xfId="0" applyFill="1" applyAlignment="1">
      <alignment vertical="top" wrapText="1"/>
    </xf>
    <xf numFmtId="0" fontId="0" fillId="3" borderId="59" xfId="0" applyFill="1" applyBorder="1" applyAlignment="1">
      <alignment vertical="top" wrapText="1"/>
    </xf>
    <xf numFmtId="0" fontId="0" fillId="3" borderId="16" xfId="0" applyFill="1" applyBorder="1" applyAlignment="1">
      <alignment vertical="top" wrapText="1"/>
    </xf>
    <xf numFmtId="0" fontId="0" fillId="3" borderId="7" xfId="0" applyFill="1" applyBorder="1" applyAlignment="1">
      <alignment vertical="top" wrapText="1"/>
    </xf>
    <xf numFmtId="0" fontId="0" fillId="3" borderId="17" xfId="0" applyFill="1" applyBorder="1" applyAlignment="1">
      <alignment vertical="top" wrapText="1"/>
    </xf>
    <xf numFmtId="167" fontId="2" fillId="8" borderId="137" xfId="0" applyNumberFormat="1" applyFont="1" applyFill="1" applyBorder="1" applyAlignment="1">
      <alignment horizontal="left" vertical="center"/>
    </xf>
    <xf numFmtId="167" fontId="2" fillId="8" borderId="140" xfId="0" applyNumberFormat="1" applyFont="1" applyFill="1" applyBorder="1" applyAlignment="1">
      <alignment horizontal="left" vertical="center"/>
    </xf>
    <xf numFmtId="167" fontId="2" fillId="8" borderId="111" xfId="0" applyNumberFormat="1" applyFont="1" applyFill="1" applyBorder="1" applyAlignment="1">
      <alignment horizontal="left" vertical="center"/>
    </xf>
    <xf numFmtId="0" fontId="1" fillId="3" borderId="137" xfId="0" applyFont="1" applyFill="1" applyBorder="1" applyAlignment="1">
      <alignment horizontal="left" vertical="center"/>
    </xf>
    <xf numFmtId="0" fontId="1" fillId="3" borderId="140" xfId="0" applyFont="1" applyFill="1" applyBorder="1" applyAlignment="1">
      <alignment horizontal="left" vertical="center"/>
    </xf>
    <xf numFmtId="0" fontId="1" fillId="3" borderId="111" xfId="0" applyFont="1" applyFill="1" applyBorder="1" applyAlignment="1">
      <alignment horizontal="left" vertical="center"/>
    </xf>
    <xf numFmtId="0" fontId="2" fillId="3" borderId="130" xfId="0" applyFont="1" applyFill="1" applyBorder="1" applyAlignment="1">
      <alignment horizontal="center" vertical="center"/>
    </xf>
    <xf numFmtId="0" fontId="2" fillId="3" borderId="131" xfId="0" applyFont="1" applyFill="1" applyBorder="1" applyAlignment="1">
      <alignment horizontal="center" vertical="center"/>
    </xf>
    <xf numFmtId="0" fontId="2" fillId="3" borderId="0" xfId="0" applyFont="1" applyFill="1" applyAlignment="1">
      <alignment horizontal="center" vertical="center"/>
    </xf>
    <xf numFmtId="0" fontId="2" fillId="3" borderId="59" xfId="0" applyFont="1" applyFill="1" applyBorder="1" applyAlignment="1">
      <alignment horizontal="center" vertical="center"/>
    </xf>
    <xf numFmtId="0" fontId="6" fillId="8" borderId="121" xfId="0" applyFont="1" applyFill="1" applyBorder="1" applyAlignment="1">
      <alignment horizontal="left" vertical="center" wrapText="1"/>
    </xf>
    <xf numFmtId="0" fontId="6" fillId="8" borderId="122"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165" fontId="6" fillId="8" borderId="135" xfId="0" applyNumberFormat="1" applyFont="1" applyFill="1" applyBorder="1" applyAlignment="1">
      <alignment horizontal="left" vertical="center" wrapText="1"/>
    </xf>
    <xf numFmtId="165" fontId="6" fillId="8" borderId="136" xfId="0" applyNumberFormat="1" applyFont="1" applyFill="1" applyBorder="1" applyAlignment="1">
      <alignment horizontal="left" vertical="center" wrapText="1"/>
    </xf>
    <xf numFmtId="0" fontId="2" fillId="3" borderId="0" xfId="0" applyFont="1" applyFill="1" applyAlignment="1">
      <alignment vertical="center"/>
    </xf>
    <xf numFmtId="0" fontId="2" fillId="3" borderId="59" xfId="0" applyFont="1" applyFill="1" applyBorder="1" applyAlignment="1">
      <alignment vertical="center"/>
    </xf>
    <xf numFmtId="0" fontId="2" fillId="0" borderId="68" xfId="0" applyFont="1" applyBorder="1" applyAlignment="1">
      <alignment horizontal="center" vertical="center"/>
    </xf>
    <xf numFmtId="0" fontId="2" fillId="0" borderId="67" xfId="0" applyFont="1" applyBorder="1" applyAlignment="1">
      <alignment horizontal="center" vertical="center"/>
    </xf>
    <xf numFmtId="0" fontId="2" fillId="0" borderId="80" xfId="0" applyFont="1" applyBorder="1" applyAlignment="1">
      <alignment horizontal="center" vertical="center"/>
    </xf>
    <xf numFmtId="0" fontId="2" fillId="0" borderId="60" xfId="0" applyFont="1" applyBorder="1" applyAlignment="1">
      <alignment horizontal="center" vertical="center"/>
    </xf>
    <xf numFmtId="0" fontId="2" fillId="0" borderId="0" xfId="0" applyFont="1" applyAlignment="1">
      <alignment horizontal="center" vertical="center"/>
    </xf>
    <xf numFmtId="0" fontId="2" fillId="0" borderId="59"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19"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16" fillId="4" borderId="9"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11" xfId="0" applyFont="1" applyFill="1" applyBorder="1" applyAlignment="1">
      <alignment horizontal="left" vertical="center"/>
    </xf>
    <xf numFmtId="0" fontId="16" fillId="4" borderId="67" xfId="0" applyFont="1" applyFill="1" applyBorder="1" applyAlignment="1">
      <alignment horizontal="left" vertical="center"/>
    </xf>
    <xf numFmtId="0" fontId="16" fillId="4" borderId="80" xfId="0" applyFont="1" applyFill="1" applyBorder="1" applyAlignment="1">
      <alignment horizontal="left" vertical="center"/>
    </xf>
    <xf numFmtId="0" fontId="6" fillId="8" borderId="116" xfId="0" applyFont="1" applyFill="1" applyBorder="1" applyAlignment="1">
      <alignment horizontal="left" vertical="center" wrapText="1"/>
    </xf>
    <xf numFmtId="0" fontId="6" fillId="8" borderId="117" xfId="0" applyFont="1" applyFill="1" applyBorder="1" applyAlignment="1">
      <alignment horizontal="left" vertical="center" wrapText="1"/>
    </xf>
    <xf numFmtId="0" fontId="6" fillId="8" borderId="68" xfId="0" applyFont="1" applyFill="1" applyBorder="1" applyAlignment="1">
      <alignment horizontal="center" vertical="center" wrapText="1"/>
    </xf>
    <xf numFmtId="0" fontId="6" fillId="8" borderId="67" xfId="0" applyFont="1" applyFill="1" applyBorder="1" applyAlignment="1">
      <alignment horizontal="center" vertical="center" wrapText="1"/>
    </xf>
    <xf numFmtId="0" fontId="6" fillId="8" borderId="80" xfId="0" applyFont="1" applyFill="1" applyBorder="1" applyAlignment="1">
      <alignment horizontal="center" vertical="center" wrapText="1"/>
    </xf>
    <xf numFmtId="0" fontId="1" fillId="3" borderId="9" xfId="0" applyFont="1" applyFill="1" applyBorder="1" applyAlignment="1">
      <alignment horizontal="lef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2" fillId="8" borderId="25" xfId="0" applyFont="1" applyFill="1" applyBorder="1" applyAlignment="1">
      <alignment horizontal="left" vertical="center"/>
    </xf>
    <xf numFmtId="0" fontId="2" fillId="8" borderId="21" xfId="0" applyFont="1" applyFill="1" applyBorder="1" applyAlignment="1">
      <alignment horizontal="left" vertical="center"/>
    </xf>
    <xf numFmtId="0" fontId="2" fillId="8" borderId="69" xfId="0" applyFont="1" applyFill="1" applyBorder="1" applyAlignment="1">
      <alignment horizontal="left" vertical="center"/>
    </xf>
    <xf numFmtId="0" fontId="6" fillId="8" borderId="122" xfId="0" applyFont="1" applyFill="1" applyBorder="1" applyAlignment="1">
      <alignment horizontal="left"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138" xfId="0" applyFont="1" applyFill="1" applyBorder="1" applyAlignment="1">
      <alignment horizontal="left" vertical="center"/>
    </xf>
    <xf numFmtId="0" fontId="6" fillId="8" borderId="139" xfId="0" applyFont="1" applyFill="1" applyBorder="1" applyAlignment="1">
      <alignment horizontal="left" vertical="center"/>
    </xf>
    <xf numFmtId="0" fontId="6" fillId="8" borderId="5" xfId="0" applyFont="1" applyFill="1" applyBorder="1" applyAlignment="1">
      <alignment horizontal="left" vertical="center"/>
    </xf>
    <xf numFmtId="0" fontId="6" fillId="8" borderId="14" xfId="0" applyFont="1" applyFill="1" applyBorder="1" applyAlignment="1">
      <alignment horizontal="left" vertical="center"/>
    </xf>
    <xf numFmtId="0" fontId="6" fillId="8" borderId="4" xfId="0" applyFont="1" applyFill="1" applyBorder="1" applyAlignment="1">
      <alignment horizontal="left" vertical="center"/>
    </xf>
    <xf numFmtId="0" fontId="0" fillId="8" borderId="3" xfId="0" applyFill="1" applyBorder="1" applyAlignment="1">
      <alignment horizontal="left" vertical="center"/>
    </xf>
    <xf numFmtId="0" fontId="6" fillId="8" borderId="106" xfId="0" applyFont="1" applyFill="1" applyBorder="1" applyAlignment="1">
      <alignment horizontal="left" vertical="center" wrapText="1"/>
    </xf>
    <xf numFmtId="0" fontId="0" fillId="8" borderId="20" xfId="0" applyFill="1" applyBorder="1" applyAlignment="1">
      <alignment horizontal="left" vertical="center" wrapText="1"/>
    </xf>
    <xf numFmtId="0" fontId="6" fillId="8" borderId="8" xfId="0" applyFont="1" applyFill="1" applyBorder="1" applyAlignment="1">
      <alignment horizontal="left" vertical="center"/>
    </xf>
    <xf numFmtId="0" fontId="2" fillId="3" borderId="78" xfId="0" applyFont="1" applyFill="1" applyBorder="1" applyAlignment="1">
      <alignment horizontal="left" vertical="center"/>
    </xf>
    <xf numFmtId="0" fontId="0" fillId="0" borderId="76" xfId="0" applyBorder="1" applyAlignment="1">
      <alignment vertical="center"/>
    </xf>
    <xf numFmtId="15" fontId="2" fillId="0" borderId="0" xfId="0" applyNumberFormat="1" applyFont="1" applyAlignment="1">
      <alignment horizontal="left" vertical="center"/>
    </xf>
    <xf numFmtId="0" fontId="0" fillId="0" borderId="0" xfId="0" applyAlignment="1">
      <alignment horizontal="left" vertical="center"/>
    </xf>
    <xf numFmtId="0" fontId="16" fillId="4" borderId="68" xfId="0" applyFont="1" applyFill="1" applyBorder="1" applyAlignment="1">
      <alignment vertical="center"/>
    </xf>
    <xf numFmtId="0" fontId="16" fillId="4" borderId="67" xfId="0" applyFont="1" applyFill="1" applyBorder="1" applyAlignment="1">
      <alignment vertical="center"/>
    </xf>
    <xf numFmtId="0" fontId="16" fillId="4" borderId="80" xfId="0" applyFont="1" applyFill="1" applyBorder="1" applyAlignment="1">
      <alignment vertical="center"/>
    </xf>
  </cellXfs>
  <cellStyles count="1">
    <cellStyle name="Normal" xfId="0" builtinId="0"/>
  </cellStyles>
  <dxfs count="0"/>
  <tableStyles count="0" defaultTableStyle="TableStyleMedium9" defaultPivotStyle="PivotStyleLight16"/>
  <colors>
    <mruColors>
      <color rgb="FFD3E5B5"/>
      <color rgb="FF99FFCC"/>
      <color rgb="FFFFFF99"/>
      <color rgb="FFFFFFCC"/>
      <color rgb="FFFF6699"/>
      <color rgb="FFC2D39D"/>
      <color rgb="FFBDCEAE"/>
      <color rgb="FFDEBC9A"/>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2:AP220"/>
  <sheetViews>
    <sheetView tabSelected="1" topLeftCell="A92" zoomScale="75" zoomScaleNormal="75" zoomScalePageLayoutView="75" workbookViewId="0">
      <selection activeCell="B17" sqref="B17"/>
    </sheetView>
  </sheetViews>
  <sheetFormatPr defaultColWidth="9.140625" defaultRowHeight="15" outlineLevelRow="1"/>
  <cols>
    <col min="1" max="1" width="3" style="1" customWidth="1"/>
    <col min="2" max="2" width="6.5703125" style="6" customWidth="1"/>
    <col min="3" max="3" width="4.28515625" style="1" customWidth="1"/>
    <col min="4" max="4" width="33.85546875" style="2" customWidth="1"/>
    <col min="5" max="5" width="13.28515625" style="1" customWidth="1"/>
    <col min="6" max="6" width="14.140625" style="1" customWidth="1"/>
    <col min="7" max="7" width="13.28515625" style="1" customWidth="1"/>
    <col min="8" max="8" width="14.7109375" style="1" customWidth="1"/>
    <col min="9" max="9" width="13.85546875" style="3" customWidth="1"/>
    <col min="10" max="10" width="15" style="1" customWidth="1"/>
    <col min="11" max="11" width="16.5703125" style="1" customWidth="1"/>
    <col min="12" max="12" width="45.85546875" hidden="1" customWidth="1"/>
    <col min="13" max="13" width="17.85546875" customWidth="1"/>
    <col min="14" max="14" width="43" customWidth="1"/>
    <col min="15" max="24" width="0" style="1" hidden="1" customWidth="1"/>
    <col min="25" max="26" width="9.5703125" style="1" customWidth="1"/>
    <col min="27" max="27" width="2.7109375" style="1" customWidth="1"/>
    <col min="28" max="34" width="9.5703125" style="1" customWidth="1"/>
    <col min="35" max="16384" width="9.140625" style="1"/>
  </cols>
  <sheetData>
    <row r="2" spans="2:26" s="5" customFormat="1" ht="18" customHeight="1">
      <c r="B2" s="7" t="s">
        <v>0</v>
      </c>
      <c r="D2" s="4"/>
      <c r="I2" s="8"/>
    </row>
    <row r="3" spans="2:26" s="5" customFormat="1" ht="18" customHeight="1">
      <c r="B3" s="7" t="s">
        <v>1</v>
      </c>
      <c r="D3" s="4"/>
      <c r="I3" s="8"/>
    </row>
    <row r="4" spans="2:26" s="5" customFormat="1" ht="18" customHeight="1">
      <c r="B4" s="9" t="s">
        <v>2</v>
      </c>
      <c r="D4" s="4"/>
      <c r="I4" s="8"/>
    </row>
    <row r="5" spans="2:26" s="5" customFormat="1" ht="18" customHeight="1">
      <c r="B5" s="593">
        <v>43432</v>
      </c>
      <c r="C5" s="594"/>
      <c r="D5" s="594"/>
      <c r="E5" s="5" t="s">
        <v>3</v>
      </c>
      <c r="I5" s="8"/>
    </row>
    <row r="6" spans="2:26" s="5" customFormat="1" ht="18" customHeight="1" thickBot="1">
      <c r="B6" s="10"/>
      <c r="D6" s="4"/>
      <c r="I6" s="8"/>
    </row>
    <row r="7" spans="2:26" s="9" customFormat="1" ht="24" customHeight="1">
      <c r="B7" s="14" t="s">
        <v>4</v>
      </c>
      <c r="C7" s="186"/>
      <c r="D7" s="187"/>
      <c r="E7" s="575"/>
      <c r="F7" s="576"/>
      <c r="G7" s="576"/>
      <c r="H7" s="576"/>
      <c r="I7" s="576"/>
      <c r="J7" s="576"/>
      <c r="K7" s="576"/>
      <c r="L7" s="576"/>
      <c r="M7" s="577"/>
      <c r="N7" s="572" t="s">
        <v>5</v>
      </c>
      <c r="O7" s="573"/>
      <c r="P7" s="573"/>
      <c r="Q7" s="573"/>
      <c r="R7" s="573"/>
      <c r="S7" s="573"/>
      <c r="T7" s="573"/>
      <c r="U7" s="573"/>
      <c r="V7" s="573"/>
      <c r="W7" s="573"/>
      <c r="X7" s="573"/>
      <c r="Y7" s="573"/>
      <c r="Z7" s="574"/>
    </row>
    <row r="8" spans="2:26" s="5" customFormat="1" ht="24" customHeight="1">
      <c r="B8" s="517" t="s">
        <v>6</v>
      </c>
      <c r="C8" s="518"/>
      <c r="D8" s="519"/>
      <c r="E8" s="514"/>
      <c r="F8" s="515"/>
      <c r="G8" s="515"/>
      <c r="H8" s="515"/>
      <c r="I8" s="515"/>
      <c r="J8" s="515"/>
      <c r="K8" s="515"/>
      <c r="L8" s="515"/>
      <c r="M8" s="516"/>
      <c r="N8" s="520"/>
      <c r="O8" s="521"/>
      <c r="P8" s="521"/>
      <c r="Q8" s="521"/>
      <c r="R8" s="521"/>
      <c r="S8" s="521"/>
      <c r="T8" s="521"/>
      <c r="U8" s="521"/>
      <c r="V8" s="521"/>
      <c r="W8" s="521"/>
      <c r="X8" s="521"/>
      <c r="Y8" s="521"/>
      <c r="Z8" s="522"/>
    </row>
    <row r="9" spans="2:26" s="5" customFormat="1" ht="24" customHeight="1">
      <c r="B9" s="517" t="s">
        <v>7</v>
      </c>
      <c r="C9" s="518"/>
      <c r="D9" s="519"/>
      <c r="E9" s="514"/>
      <c r="F9" s="515"/>
      <c r="G9" s="515"/>
      <c r="H9" s="515"/>
      <c r="I9" s="515"/>
      <c r="J9" s="515"/>
      <c r="K9" s="515"/>
      <c r="L9" s="515"/>
      <c r="M9" s="516"/>
      <c r="N9" s="523"/>
      <c r="O9" s="524"/>
      <c r="P9" s="524"/>
      <c r="Q9" s="524"/>
      <c r="R9" s="524"/>
      <c r="S9" s="524"/>
      <c r="T9" s="524"/>
      <c r="U9" s="524"/>
      <c r="V9" s="524"/>
      <c r="W9" s="524"/>
      <c r="X9" s="524"/>
      <c r="Y9" s="524"/>
      <c r="Z9" s="525"/>
    </row>
    <row r="10" spans="2:26" s="5" customFormat="1" ht="24" customHeight="1">
      <c r="B10" s="517" t="s">
        <v>8</v>
      </c>
      <c r="C10" s="518"/>
      <c r="D10" s="519"/>
      <c r="E10" s="514"/>
      <c r="F10" s="515"/>
      <c r="G10" s="515"/>
      <c r="H10" s="515"/>
      <c r="I10" s="515"/>
      <c r="J10" s="515"/>
      <c r="K10" s="515"/>
      <c r="L10" s="515"/>
      <c r="M10" s="516"/>
      <c r="N10" s="523"/>
      <c r="O10" s="524"/>
      <c r="P10" s="524"/>
      <c r="Q10" s="524"/>
      <c r="R10" s="524"/>
      <c r="S10" s="524"/>
      <c r="T10" s="524"/>
      <c r="U10" s="524"/>
      <c r="V10" s="524"/>
      <c r="W10" s="524"/>
      <c r="X10" s="524"/>
      <c r="Y10" s="524"/>
      <c r="Z10" s="525"/>
    </row>
    <row r="11" spans="2:26" s="5" customFormat="1" ht="24" customHeight="1">
      <c r="B11" s="517" t="s">
        <v>9</v>
      </c>
      <c r="C11" s="518"/>
      <c r="D11" s="519"/>
      <c r="E11" s="514"/>
      <c r="F11" s="515"/>
      <c r="G11" s="515"/>
      <c r="H11" s="515"/>
      <c r="I11" s="515"/>
      <c r="J11" s="515"/>
      <c r="K11" s="515"/>
      <c r="L11" s="515"/>
      <c r="M11" s="516"/>
      <c r="N11" s="523"/>
      <c r="O11" s="524"/>
      <c r="P11" s="524"/>
      <c r="Q11" s="524"/>
      <c r="R11" s="524"/>
      <c r="S11" s="524"/>
      <c r="T11" s="524"/>
      <c r="U11" s="524"/>
      <c r="V11" s="524"/>
      <c r="W11" s="524"/>
      <c r="X11" s="524"/>
      <c r="Y11" s="524"/>
      <c r="Z11" s="525"/>
    </row>
    <row r="12" spans="2:26" s="5" customFormat="1" ht="24" customHeight="1">
      <c r="B12" s="517" t="s">
        <v>10</v>
      </c>
      <c r="C12" s="518"/>
      <c r="D12" s="519"/>
      <c r="E12" s="514"/>
      <c r="F12" s="515"/>
      <c r="G12" s="515"/>
      <c r="H12" s="515"/>
      <c r="I12" s="515"/>
      <c r="J12" s="515"/>
      <c r="K12" s="515"/>
      <c r="L12" s="515"/>
      <c r="M12" s="516"/>
      <c r="N12" s="523"/>
      <c r="O12" s="524"/>
      <c r="P12" s="524"/>
      <c r="Q12" s="524"/>
      <c r="R12" s="524"/>
      <c r="S12" s="524"/>
      <c r="T12" s="524"/>
      <c r="U12" s="524"/>
      <c r="V12" s="524"/>
      <c r="W12" s="524"/>
      <c r="X12" s="524"/>
      <c r="Y12" s="524"/>
      <c r="Z12" s="525"/>
    </row>
    <row r="13" spans="2:26" s="5" customFormat="1" ht="24" customHeight="1">
      <c r="B13" s="532" t="s">
        <v>11</v>
      </c>
      <c r="C13" s="533"/>
      <c r="D13" s="534"/>
      <c r="E13" s="529"/>
      <c r="F13" s="530"/>
      <c r="G13" s="530"/>
      <c r="H13" s="530"/>
      <c r="I13" s="530"/>
      <c r="J13" s="530"/>
      <c r="K13" s="530"/>
      <c r="L13" s="530"/>
      <c r="M13" s="531"/>
      <c r="N13" s="526"/>
      <c r="O13" s="527"/>
      <c r="P13" s="527"/>
      <c r="Q13" s="527"/>
      <c r="R13" s="527"/>
      <c r="S13" s="527"/>
      <c r="T13" s="527"/>
      <c r="U13" s="527"/>
      <c r="V13" s="527"/>
      <c r="W13" s="527"/>
      <c r="X13" s="527"/>
      <c r="Y13" s="527"/>
      <c r="Z13" s="528"/>
    </row>
    <row r="14" spans="2:26" s="5" customFormat="1" ht="24" customHeight="1"/>
    <row r="15" spans="2:26" s="5" customFormat="1" ht="24" customHeight="1" thickBot="1">
      <c r="B15" s="562" t="s">
        <v>12</v>
      </c>
      <c r="C15" s="563"/>
      <c r="D15" s="563"/>
      <c r="E15" s="563"/>
      <c r="F15" s="563"/>
      <c r="G15" s="563"/>
      <c r="H15" s="563"/>
      <c r="I15" s="563"/>
      <c r="J15" s="563"/>
      <c r="K15" s="563"/>
      <c r="L15" s="563"/>
      <c r="M15" s="564"/>
      <c r="N15" s="562" t="s">
        <v>13</v>
      </c>
      <c r="O15" s="563"/>
      <c r="P15" s="563"/>
      <c r="Q15" s="563"/>
      <c r="R15" s="563"/>
      <c r="S15" s="563"/>
      <c r="T15" s="563"/>
      <c r="U15" s="563"/>
      <c r="V15" s="563"/>
      <c r="W15" s="563"/>
      <c r="X15" s="563"/>
      <c r="Y15" s="563"/>
      <c r="Z15" s="564"/>
    </row>
    <row r="16" spans="2:26" s="215" customFormat="1" ht="39" customHeight="1">
      <c r="B16" s="223">
        <v>1.1000000000000001</v>
      </c>
      <c r="C16" s="539" t="s">
        <v>14</v>
      </c>
      <c r="D16" s="540"/>
      <c r="E16" s="337" t="s">
        <v>15</v>
      </c>
      <c r="F16" s="337" t="s">
        <v>16</v>
      </c>
      <c r="G16" s="338"/>
      <c r="H16" s="338"/>
      <c r="I16" s="339" t="s">
        <v>17</v>
      </c>
      <c r="J16" s="340" t="s">
        <v>18</v>
      </c>
      <c r="K16" s="337" t="s">
        <v>19</v>
      </c>
      <c r="L16" s="226"/>
      <c r="M16" s="225"/>
      <c r="N16" s="541"/>
      <c r="O16" s="542"/>
      <c r="P16" s="542"/>
      <c r="Q16" s="542"/>
      <c r="R16" s="542"/>
      <c r="S16" s="542"/>
      <c r="T16" s="542"/>
      <c r="U16" s="542"/>
      <c r="V16" s="542"/>
      <c r="W16" s="542"/>
      <c r="X16" s="542"/>
      <c r="Y16" s="542"/>
      <c r="Z16" s="543"/>
    </row>
    <row r="17" spans="2:26" s="5" customFormat="1" ht="24" customHeight="1" thickBot="1">
      <c r="B17" s="126"/>
      <c r="C17" s="5" t="s">
        <v>20</v>
      </c>
      <c r="D17" s="5" t="s">
        <v>21</v>
      </c>
      <c r="E17" s="489"/>
      <c r="F17" s="491">
        <f>E17*2</f>
        <v>0</v>
      </c>
      <c r="I17" s="297" t="s">
        <v>22</v>
      </c>
      <c r="J17" s="297" t="s">
        <v>22</v>
      </c>
      <c r="K17" s="297" t="s">
        <v>22</v>
      </c>
      <c r="N17" s="551"/>
      <c r="O17" s="552"/>
      <c r="P17" s="552"/>
      <c r="Q17" s="552"/>
      <c r="R17" s="552"/>
      <c r="S17" s="552"/>
      <c r="T17" s="552"/>
      <c r="U17" s="552"/>
      <c r="V17" s="552"/>
      <c r="W17" s="552"/>
      <c r="X17" s="552"/>
      <c r="Y17" s="552"/>
      <c r="Z17" s="553"/>
    </row>
    <row r="18" spans="2:26" s="5" customFormat="1" ht="24" customHeight="1" thickBot="1">
      <c r="B18" s="126"/>
      <c r="C18" s="5" t="s">
        <v>23</v>
      </c>
      <c r="D18" s="5" t="s">
        <v>24</v>
      </c>
      <c r="E18" s="490"/>
      <c r="F18" s="492">
        <f>E18*2</f>
        <v>0</v>
      </c>
      <c r="I18" s="214"/>
      <c r="J18" s="214"/>
      <c r="K18" s="214"/>
      <c r="N18" s="554"/>
      <c r="O18" s="555"/>
      <c r="P18" s="555"/>
      <c r="Q18" s="555"/>
      <c r="R18" s="555"/>
      <c r="S18" s="555"/>
      <c r="T18" s="555"/>
      <c r="U18" s="555"/>
      <c r="V18" s="555"/>
      <c r="W18" s="555"/>
      <c r="X18" s="555"/>
      <c r="Y18" s="555"/>
      <c r="Z18" s="556"/>
    </row>
    <row r="19" spans="2:26" s="5" customFormat="1" ht="24" customHeight="1">
      <c r="B19" s="298">
        <v>1.2</v>
      </c>
      <c r="C19" s="539" t="s">
        <v>25</v>
      </c>
      <c r="D19" s="578"/>
      <c r="E19" s="341" t="s">
        <v>26</v>
      </c>
      <c r="F19" s="342" t="s">
        <v>27</v>
      </c>
      <c r="G19" s="337" t="s">
        <v>28</v>
      </c>
      <c r="H19" s="342" t="s">
        <v>29</v>
      </c>
      <c r="I19" s="341" t="s">
        <v>30</v>
      </c>
      <c r="J19" s="343" t="s">
        <v>31</v>
      </c>
      <c r="K19" s="341" t="s">
        <v>32</v>
      </c>
      <c r="L19" s="343" t="s">
        <v>31</v>
      </c>
      <c r="M19" s="341" t="s">
        <v>33</v>
      </c>
      <c r="N19" s="579"/>
      <c r="O19" s="580"/>
      <c r="P19" s="580"/>
      <c r="Q19" s="580"/>
      <c r="R19" s="580"/>
      <c r="S19" s="580"/>
      <c r="T19" s="580"/>
      <c r="U19" s="580"/>
      <c r="V19" s="580"/>
      <c r="W19" s="580"/>
      <c r="X19" s="580"/>
      <c r="Y19" s="580"/>
      <c r="Z19" s="581"/>
    </row>
    <row r="20" spans="2:26" s="5" customFormat="1" ht="24" customHeight="1" thickBot="1">
      <c r="B20" s="126"/>
      <c r="C20" s="5" t="s">
        <v>20</v>
      </c>
      <c r="D20" s="5" t="s">
        <v>34</v>
      </c>
      <c r="N20" s="548"/>
      <c r="O20" s="549"/>
      <c r="P20" s="549"/>
      <c r="Q20" s="549"/>
      <c r="R20" s="549"/>
      <c r="S20" s="549"/>
      <c r="T20" s="549"/>
      <c r="U20" s="549"/>
      <c r="V20" s="549"/>
      <c r="W20" s="549"/>
      <c r="X20" s="549"/>
      <c r="Y20" s="549"/>
      <c r="Z20" s="550"/>
    </row>
    <row r="21" spans="2:26" s="5" customFormat="1" ht="24" customHeight="1" thickBot="1">
      <c r="B21" s="126"/>
      <c r="D21" s="5" t="s">
        <v>35</v>
      </c>
      <c r="E21" s="301" t="s">
        <v>36</v>
      </c>
      <c r="F21" s="302"/>
      <c r="G21" s="303"/>
      <c r="I21" s="318">
        <f>G21*F21</f>
        <v>0</v>
      </c>
      <c r="J21" s="319">
        <f>I21/10000</f>
        <v>0</v>
      </c>
      <c r="K21" s="334">
        <f>SUM(I21:I22)</f>
        <v>0</v>
      </c>
      <c r="L21" s="335">
        <f>I21/10000</f>
        <v>0</v>
      </c>
      <c r="M21" s="336">
        <f>SUM(J21:J22)</f>
        <v>0</v>
      </c>
      <c r="N21" s="551"/>
      <c r="O21" s="552"/>
      <c r="P21" s="552"/>
      <c r="Q21" s="552"/>
      <c r="R21" s="552"/>
      <c r="S21" s="552"/>
      <c r="T21" s="552"/>
      <c r="U21" s="552"/>
      <c r="V21" s="552"/>
      <c r="W21" s="552"/>
      <c r="X21" s="552"/>
      <c r="Y21" s="552"/>
      <c r="Z21" s="553"/>
    </row>
    <row r="22" spans="2:26" s="5" customFormat="1" ht="24" customHeight="1" thickBot="1">
      <c r="B22" s="126"/>
      <c r="D22" s="5" t="s">
        <v>37</v>
      </c>
      <c r="E22" s="304" t="s">
        <v>36</v>
      </c>
      <c r="F22" s="305"/>
      <c r="G22" s="306"/>
      <c r="I22" s="320">
        <f>G22*F22</f>
        <v>0</v>
      </c>
      <c r="J22" s="321">
        <f>I22/10000</f>
        <v>0</v>
      </c>
      <c r="L22" s="213">
        <f>I22/10000</f>
        <v>0</v>
      </c>
      <c r="N22" s="551"/>
      <c r="O22" s="552"/>
      <c r="P22" s="552"/>
      <c r="Q22" s="552"/>
      <c r="R22" s="552"/>
      <c r="S22" s="552"/>
      <c r="T22" s="552"/>
      <c r="U22" s="552"/>
      <c r="V22" s="552"/>
      <c r="W22" s="552"/>
      <c r="X22" s="552"/>
      <c r="Y22" s="552"/>
      <c r="Z22" s="553"/>
    </row>
    <row r="23" spans="2:26" s="5" customFormat="1" ht="24" customHeight="1" thickBot="1">
      <c r="B23" s="126"/>
      <c r="C23" s="5" t="s">
        <v>23</v>
      </c>
      <c r="D23" s="5" t="s">
        <v>38</v>
      </c>
      <c r="N23" s="551"/>
      <c r="O23" s="552"/>
      <c r="P23" s="552"/>
      <c r="Q23" s="552"/>
      <c r="R23" s="552"/>
      <c r="S23" s="552"/>
      <c r="T23" s="552"/>
      <c r="U23" s="552"/>
      <c r="V23" s="552"/>
      <c r="W23" s="552"/>
      <c r="X23" s="552"/>
      <c r="Y23" s="552"/>
      <c r="Z23" s="553"/>
    </row>
    <row r="24" spans="2:26" s="5" customFormat="1" ht="24" customHeight="1" thickBot="1">
      <c r="B24" s="126"/>
      <c r="D24" s="5" t="s">
        <v>35</v>
      </c>
      <c r="E24" s="301" t="s">
        <v>36</v>
      </c>
      <c r="F24" s="483"/>
      <c r="G24" s="485"/>
      <c r="H24" s="487"/>
      <c r="I24" s="318">
        <f>G24*F24*H24</f>
        <v>0</v>
      </c>
      <c r="J24" s="319">
        <f>I24/10000</f>
        <v>0</v>
      </c>
      <c r="K24" s="334">
        <f>SUM(I24:I25)</f>
        <v>0</v>
      </c>
      <c r="L24" s="335">
        <f>I24/10000</f>
        <v>0</v>
      </c>
      <c r="M24" s="336">
        <f>SUM(J24:J25)</f>
        <v>0</v>
      </c>
      <c r="N24" s="551"/>
      <c r="O24" s="552"/>
      <c r="P24" s="552"/>
      <c r="Q24" s="552"/>
      <c r="R24" s="552"/>
      <c r="S24" s="552"/>
      <c r="T24" s="552"/>
      <c r="U24" s="552"/>
      <c r="V24" s="552"/>
      <c r="W24" s="552"/>
      <c r="X24" s="552"/>
      <c r="Y24" s="552"/>
      <c r="Z24" s="553"/>
    </row>
    <row r="25" spans="2:26" s="5" customFormat="1" ht="24" customHeight="1" thickBot="1">
      <c r="B25" s="126"/>
      <c r="D25" s="5" t="s">
        <v>37</v>
      </c>
      <c r="E25" s="304" t="s">
        <v>36</v>
      </c>
      <c r="F25" s="484"/>
      <c r="G25" s="486"/>
      <c r="H25" s="488"/>
      <c r="I25" s="320">
        <f>G25*F25*H25</f>
        <v>0</v>
      </c>
      <c r="J25" s="321">
        <f>I25/10000</f>
        <v>0</v>
      </c>
      <c r="L25" s="213">
        <f>I25/10000</f>
        <v>0</v>
      </c>
      <c r="N25" s="551"/>
      <c r="O25" s="552"/>
      <c r="P25" s="552"/>
      <c r="Q25" s="552"/>
      <c r="R25" s="552"/>
      <c r="S25" s="552"/>
      <c r="T25" s="552"/>
      <c r="U25" s="552"/>
      <c r="V25" s="552"/>
      <c r="W25" s="552"/>
      <c r="X25" s="552"/>
      <c r="Y25" s="552"/>
      <c r="Z25" s="553"/>
    </row>
    <row r="26" spans="2:26" s="5" customFormat="1" ht="24" customHeight="1" thickBot="1">
      <c r="B26" s="126"/>
      <c r="C26" s="5" t="s">
        <v>39</v>
      </c>
      <c r="D26" s="5" t="s">
        <v>40</v>
      </c>
      <c r="N26" s="551"/>
      <c r="O26" s="552"/>
      <c r="P26" s="552"/>
      <c r="Q26" s="552"/>
      <c r="R26" s="552"/>
      <c r="S26" s="552"/>
      <c r="T26" s="552"/>
      <c r="U26" s="552"/>
      <c r="V26" s="552"/>
      <c r="W26" s="552"/>
      <c r="X26" s="552"/>
      <c r="Y26" s="552"/>
      <c r="Z26" s="553"/>
    </row>
    <row r="27" spans="2:26" s="5" customFormat="1" ht="24" customHeight="1" thickBot="1">
      <c r="B27" s="126"/>
      <c r="D27" s="5" t="s">
        <v>35</v>
      </c>
      <c r="E27" s="301" t="s">
        <v>36</v>
      </c>
      <c r="F27" s="302"/>
      <c r="G27" s="303"/>
      <c r="I27" s="318">
        <f>G27*F27</f>
        <v>0</v>
      </c>
      <c r="J27" s="319">
        <f>I27/10000</f>
        <v>0</v>
      </c>
      <c r="K27" s="334">
        <f>SUM(I27:I28,I30:I31)</f>
        <v>0</v>
      </c>
      <c r="L27" s="335">
        <f>I27/10000</f>
        <v>0</v>
      </c>
      <c r="M27" s="336">
        <f>SUM(J27:J28,J30:J31)</f>
        <v>0</v>
      </c>
      <c r="N27" s="551"/>
      <c r="O27" s="552"/>
      <c r="P27" s="552"/>
      <c r="Q27" s="552"/>
      <c r="R27" s="552"/>
      <c r="S27" s="552"/>
      <c r="T27" s="552"/>
      <c r="U27" s="552"/>
      <c r="V27" s="552"/>
      <c r="W27" s="552"/>
      <c r="X27" s="552"/>
      <c r="Y27" s="552"/>
      <c r="Z27" s="553"/>
    </row>
    <row r="28" spans="2:26" s="5" customFormat="1" ht="24" customHeight="1" thickBot="1">
      <c r="B28" s="126"/>
      <c r="D28" s="5" t="s">
        <v>37</v>
      </c>
      <c r="E28" s="304" t="s">
        <v>36</v>
      </c>
      <c r="F28" s="305"/>
      <c r="G28" s="306"/>
      <c r="I28" s="320">
        <f>G28*F28</f>
        <v>0</v>
      </c>
      <c r="J28" s="321">
        <f>I28/10000</f>
        <v>0</v>
      </c>
      <c r="L28" s="213">
        <f>I28/10000</f>
        <v>0</v>
      </c>
      <c r="N28" s="551"/>
      <c r="O28" s="552"/>
      <c r="P28" s="552"/>
      <c r="Q28" s="552"/>
      <c r="R28" s="552"/>
      <c r="S28" s="552"/>
      <c r="T28" s="552"/>
      <c r="U28" s="552"/>
      <c r="V28" s="552"/>
      <c r="W28" s="552"/>
      <c r="X28" s="552"/>
      <c r="Y28" s="552"/>
      <c r="Z28" s="553"/>
    </row>
    <row r="29" spans="2:26" s="5" customFormat="1" ht="24" customHeight="1" thickBot="1">
      <c r="B29" s="126"/>
      <c r="E29" s="211"/>
      <c r="N29" s="551"/>
      <c r="O29" s="552"/>
      <c r="P29" s="552"/>
      <c r="Q29" s="552"/>
      <c r="R29" s="552"/>
      <c r="S29" s="552"/>
      <c r="T29" s="552"/>
      <c r="U29" s="552"/>
      <c r="V29" s="552"/>
      <c r="W29" s="552"/>
      <c r="X29" s="552"/>
      <c r="Y29" s="552"/>
      <c r="Z29" s="553"/>
    </row>
    <row r="30" spans="2:26" s="5" customFormat="1" ht="24" customHeight="1">
      <c r="B30" s="126"/>
      <c r="D30" s="5" t="s">
        <v>35</v>
      </c>
      <c r="E30" s="301" t="s">
        <v>36</v>
      </c>
      <c r="F30" s="302"/>
      <c r="G30" s="303"/>
      <c r="I30" s="318">
        <f>G30*F30</f>
        <v>0</v>
      </c>
      <c r="J30" s="319">
        <f>I30/10000</f>
        <v>0</v>
      </c>
      <c r="L30" s="210">
        <f>I30/10000</f>
        <v>0</v>
      </c>
      <c r="N30" s="551"/>
      <c r="O30" s="552"/>
      <c r="P30" s="552"/>
      <c r="Q30" s="552"/>
      <c r="R30" s="552"/>
      <c r="S30" s="552"/>
      <c r="T30" s="552"/>
      <c r="U30" s="552"/>
      <c r="V30" s="552"/>
      <c r="W30" s="552"/>
      <c r="X30" s="552"/>
      <c r="Y30" s="552"/>
      <c r="Z30" s="553"/>
    </row>
    <row r="31" spans="2:26" s="5" customFormat="1" ht="24" customHeight="1" thickBot="1">
      <c r="B31" s="200"/>
      <c r="C31" s="12"/>
      <c r="D31" s="5" t="s">
        <v>37</v>
      </c>
      <c r="E31" s="304" t="s">
        <v>36</v>
      </c>
      <c r="F31" s="305"/>
      <c r="G31" s="306"/>
      <c r="I31" s="320">
        <f>G31*F31</f>
        <v>0</v>
      </c>
      <c r="J31" s="321">
        <f>I31/10000</f>
        <v>0</v>
      </c>
      <c r="L31" s="212">
        <f>I31/10000</f>
        <v>0</v>
      </c>
      <c r="N31" s="554"/>
      <c r="O31" s="555"/>
      <c r="P31" s="555"/>
      <c r="Q31" s="555"/>
      <c r="R31" s="555"/>
      <c r="S31" s="555"/>
      <c r="T31" s="555"/>
      <c r="U31" s="555"/>
      <c r="V31" s="555"/>
      <c r="W31" s="555"/>
      <c r="X31" s="555"/>
      <c r="Y31" s="555"/>
      <c r="Z31" s="556"/>
    </row>
    <row r="32" spans="2:26" s="5" customFormat="1" ht="51.75" customHeight="1">
      <c r="B32" s="298">
        <v>1.3</v>
      </c>
      <c r="C32" s="539" t="s">
        <v>41</v>
      </c>
      <c r="D32" s="578"/>
      <c r="E32" s="344" t="s">
        <v>42</v>
      </c>
      <c r="F32" s="338" t="s">
        <v>43</v>
      </c>
      <c r="G32" s="338" t="s">
        <v>44</v>
      </c>
      <c r="H32" s="342"/>
      <c r="I32" s="338" t="s">
        <v>45</v>
      </c>
      <c r="J32" s="338" t="s">
        <v>46</v>
      </c>
      <c r="K32" s="338" t="s">
        <v>47</v>
      </c>
      <c r="L32" s="299" t="s">
        <v>48</v>
      </c>
      <c r="M32" s="300"/>
      <c r="N32" s="579"/>
      <c r="O32" s="580"/>
      <c r="P32" s="580"/>
      <c r="Q32" s="580"/>
      <c r="R32" s="580"/>
      <c r="S32" s="580"/>
      <c r="T32" s="580"/>
      <c r="U32" s="580"/>
      <c r="V32" s="580"/>
      <c r="W32" s="580"/>
      <c r="X32" s="580"/>
      <c r="Y32" s="580"/>
      <c r="Z32" s="581"/>
    </row>
    <row r="33" spans="2:35" s="5" customFormat="1" ht="24" customHeight="1">
      <c r="B33" s="126"/>
      <c r="C33" s="5" t="s">
        <v>20</v>
      </c>
      <c r="D33" s="5" t="s">
        <v>34</v>
      </c>
      <c r="E33" s="307"/>
      <c r="F33" s="302">
        <v>100</v>
      </c>
      <c r="G33" s="303"/>
      <c r="H33" s="228" t="s">
        <v>49</v>
      </c>
      <c r="I33" s="312">
        <f>(E33*M21)/100</f>
        <v>0</v>
      </c>
      <c r="J33" s="313">
        <f>F33*M21/100</f>
        <v>0</v>
      </c>
      <c r="K33" s="314">
        <f>G33*M21/100</f>
        <v>0</v>
      </c>
      <c r="N33" s="557" t="s">
        <v>50</v>
      </c>
      <c r="O33" s="558"/>
      <c r="P33" s="558"/>
      <c r="Q33" s="558"/>
      <c r="R33" s="558"/>
      <c r="S33" s="558"/>
      <c r="T33" s="558"/>
      <c r="U33" s="558"/>
      <c r="V33" s="558"/>
      <c r="W33" s="558"/>
      <c r="X33" s="558"/>
      <c r="Y33" s="558"/>
      <c r="Z33" s="558"/>
    </row>
    <row r="34" spans="2:35" s="5" customFormat="1" ht="30.75" customHeight="1">
      <c r="B34" s="126"/>
      <c r="C34" s="5" t="s">
        <v>23</v>
      </c>
      <c r="D34" s="5" t="s">
        <v>38</v>
      </c>
      <c r="E34" s="308"/>
      <c r="F34" s="309">
        <v>100</v>
      </c>
      <c r="G34" s="310"/>
      <c r="H34" s="228" t="s">
        <v>49</v>
      </c>
      <c r="I34" s="315">
        <f>E34*M24/100</f>
        <v>0</v>
      </c>
      <c r="J34" s="316">
        <f>F34*M24/100</f>
        <v>0</v>
      </c>
      <c r="K34" s="317">
        <f>G34*M24/100</f>
        <v>0</v>
      </c>
      <c r="N34" s="557" t="s">
        <v>51</v>
      </c>
      <c r="O34" s="558"/>
      <c r="P34" s="558"/>
      <c r="Q34" s="558"/>
      <c r="R34" s="558"/>
      <c r="S34" s="558"/>
      <c r="T34" s="558"/>
      <c r="U34" s="558"/>
      <c r="V34" s="558"/>
      <c r="W34" s="558"/>
      <c r="X34" s="558"/>
      <c r="Y34" s="558"/>
      <c r="Z34" s="558"/>
    </row>
    <row r="35" spans="2:35" s="5" customFormat="1" ht="24" customHeight="1">
      <c r="B35" s="200"/>
      <c r="C35" s="12" t="s">
        <v>39</v>
      </c>
      <c r="D35" s="12" t="s">
        <v>40</v>
      </c>
      <c r="E35" s="311"/>
      <c r="F35" s="305">
        <v>100</v>
      </c>
      <c r="G35" s="306"/>
      <c r="H35" s="252" t="s">
        <v>49</v>
      </c>
      <c r="I35" s="345">
        <f>E35*M27/100</f>
        <v>0</v>
      </c>
      <c r="J35" s="346">
        <f>F35*M27/100</f>
        <v>0</v>
      </c>
      <c r="K35" s="347">
        <f>G35*M27/100</f>
        <v>0</v>
      </c>
      <c r="L35" s="12"/>
      <c r="M35" s="12"/>
      <c r="N35" s="559" t="s">
        <v>52</v>
      </c>
      <c r="O35" s="560"/>
      <c r="P35" s="560"/>
      <c r="Q35" s="560"/>
      <c r="R35" s="560"/>
      <c r="S35" s="560"/>
      <c r="T35" s="560"/>
      <c r="U35" s="560"/>
      <c r="V35" s="560"/>
      <c r="W35" s="560"/>
      <c r="X35" s="560"/>
      <c r="Y35" s="560"/>
      <c r="Z35" s="561"/>
    </row>
    <row r="36" spans="2:35" s="5" customFormat="1" ht="24" customHeight="1" thickBot="1">
      <c r="N36" s="555"/>
      <c r="O36" s="555"/>
      <c r="P36" s="555"/>
      <c r="Q36" s="555"/>
      <c r="R36" s="555"/>
      <c r="S36" s="555"/>
      <c r="T36" s="555"/>
      <c r="U36" s="555"/>
      <c r="V36" s="555"/>
      <c r="W36" s="555"/>
      <c r="X36" s="555"/>
      <c r="Y36" s="555"/>
      <c r="Z36" s="555"/>
    </row>
    <row r="37" spans="2:35" s="5" customFormat="1" ht="24" customHeight="1" thickBot="1">
      <c r="B37" s="562" t="s">
        <v>53</v>
      </c>
      <c r="C37" s="563"/>
      <c r="D37" s="563"/>
      <c r="E37" s="563"/>
      <c r="F37" s="563"/>
      <c r="G37" s="563"/>
      <c r="H37" s="563"/>
      <c r="I37" s="563"/>
      <c r="J37" s="563"/>
      <c r="K37" s="563"/>
      <c r="L37" s="563"/>
      <c r="M37" s="564"/>
      <c r="N37" s="562" t="s">
        <v>13</v>
      </c>
      <c r="O37" s="563"/>
      <c r="P37" s="563"/>
      <c r="Q37" s="563"/>
      <c r="R37" s="563"/>
      <c r="S37" s="563"/>
      <c r="T37" s="563"/>
      <c r="U37" s="563"/>
      <c r="V37" s="563"/>
      <c r="W37" s="563"/>
      <c r="X37" s="563"/>
      <c r="Y37" s="563"/>
      <c r="Z37" s="564"/>
    </row>
    <row r="38" spans="2:35" s="215" customFormat="1" ht="63.75" customHeight="1">
      <c r="B38" s="216">
        <v>2.1</v>
      </c>
      <c r="C38" s="567" t="s">
        <v>54</v>
      </c>
      <c r="D38" s="568"/>
      <c r="E38" s="330" t="s">
        <v>55</v>
      </c>
      <c r="F38" s="331" t="s">
        <v>15</v>
      </c>
      <c r="G38" s="331" t="s">
        <v>16</v>
      </c>
      <c r="H38" s="330" t="s">
        <v>56</v>
      </c>
      <c r="I38" s="332" t="s">
        <v>57</v>
      </c>
      <c r="J38" s="333" t="s">
        <v>58</v>
      </c>
      <c r="K38" s="331" t="s">
        <v>59</v>
      </c>
      <c r="L38" s="217"/>
      <c r="M38" s="331" t="s">
        <v>60</v>
      </c>
      <c r="N38" s="569"/>
      <c r="O38" s="570"/>
      <c r="P38" s="570"/>
      <c r="Q38" s="570"/>
      <c r="R38" s="570"/>
      <c r="S38" s="570"/>
      <c r="T38" s="570"/>
      <c r="U38" s="570"/>
      <c r="V38" s="570"/>
      <c r="W38" s="570"/>
      <c r="X38" s="570"/>
      <c r="Y38" s="570"/>
      <c r="Z38" s="571"/>
      <c r="AI38" s="348"/>
    </row>
    <row r="39" spans="2:35" s="5" customFormat="1" ht="24" customHeight="1" thickBot="1">
      <c r="B39" s="218"/>
      <c r="C39" s="219" t="s">
        <v>20</v>
      </c>
      <c r="D39" s="219" t="s">
        <v>61</v>
      </c>
      <c r="E39" s="329"/>
      <c r="F39" s="352">
        <f>E17</f>
        <v>0</v>
      </c>
      <c r="G39" s="353">
        <f>F39*2</f>
        <v>0</v>
      </c>
      <c r="H39" s="465">
        <f>G39*E39</f>
        <v>0</v>
      </c>
      <c r="I39" s="466">
        <v>90</v>
      </c>
      <c r="J39" s="467">
        <f>H39/I39</f>
        <v>0</v>
      </c>
      <c r="K39" s="219"/>
      <c r="L39" s="219"/>
      <c r="M39" s="221"/>
      <c r="N39" s="548"/>
      <c r="O39" s="549"/>
      <c r="P39" s="549"/>
      <c r="Q39" s="549"/>
      <c r="R39" s="549"/>
      <c r="S39" s="549"/>
      <c r="T39" s="549"/>
      <c r="U39" s="549"/>
      <c r="V39" s="549"/>
      <c r="W39" s="549"/>
      <c r="X39" s="549"/>
      <c r="Y39" s="549"/>
      <c r="Z39" s="550"/>
    </row>
    <row r="40" spans="2:35" s="5" customFormat="1" ht="24" customHeight="1" thickBot="1">
      <c r="B40" s="126"/>
      <c r="E40" s="349" t="s">
        <v>62</v>
      </c>
      <c r="F40" s="350" t="s">
        <v>63</v>
      </c>
      <c r="G40" s="351" t="s">
        <v>64</v>
      </c>
      <c r="M40" s="116"/>
      <c r="N40" s="551"/>
      <c r="O40" s="552"/>
      <c r="P40" s="552"/>
      <c r="Q40" s="552"/>
      <c r="R40" s="552"/>
      <c r="S40" s="552"/>
      <c r="T40" s="552"/>
      <c r="U40" s="552"/>
      <c r="V40" s="552"/>
      <c r="W40" s="552"/>
      <c r="X40" s="552"/>
      <c r="Y40" s="552"/>
      <c r="Z40" s="553"/>
    </row>
    <row r="41" spans="2:35" s="5" customFormat="1" ht="24" customHeight="1">
      <c r="B41" s="126"/>
      <c r="D41" s="5" t="s">
        <v>65</v>
      </c>
      <c r="E41" s="326"/>
      <c r="F41" s="462">
        <f>J39</f>
        <v>0</v>
      </c>
      <c r="G41" s="5">
        <v>220</v>
      </c>
      <c r="K41" s="322">
        <f>G41*F41*E41</f>
        <v>0</v>
      </c>
      <c r="M41" s="326"/>
      <c r="N41" s="551"/>
      <c r="O41" s="552"/>
      <c r="P41" s="552"/>
      <c r="Q41" s="552"/>
      <c r="R41" s="552"/>
      <c r="S41" s="552"/>
      <c r="T41" s="552"/>
      <c r="U41" s="552"/>
      <c r="V41" s="552"/>
      <c r="W41" s="552"/>
      <c r="X41" s="552"/>
      <c r="Y41" s="552"/>
      <c r="Z41" s="553"/>
    </row>
    <row r="42" spans="2:35" s="5" customFormat="1" ht="24" customHeight="1">
      <c r="B42" s="126"/>
      <c r="D42" s="5" t="s">
        <v>66</v>
      </c>
      <c r="E42" s="327"/>
      <c r="F42" s="463">
        <f>J39</f>
        <v>0</v>
      </c>
      <c r="G42" s="5">
        <v>100</v>
      </c>
      <c r="K42" s="323">
        <f t="shared" ref="K42:K43" si="0">G42*F42*E42</f>
        <v>0</v>
      </c>
      <c r="M42" s="327"/>
      <c r="N42" s="551"/>
      <c r="O42" s="552"/>
      <c r="P42" s="552"/>
      <c r="Q42" s="552"/>
      <c r="R42" s="552"/>
      <c r="S42" s="552"/>
      <c r="T42" s="552"/>
      <c r="U42" s="552"/>
      <c r="V42" s="552"/>
      <c r="W42" s="552"/>
      <c r="X42" s="552"/>
      <c r="Y42" s="552"/>
      <c r="Z42" s="553"/>
    </row>
    <row r="43" spans="2:35" s="5" customFormat="1" ht="24" customHeight="1" thickBot="1">
      <c r="B43" s="126"/>
      <c r="D43" s="5" t="s">
        <v>67</v>
      </c>
      <c r="E43" s="327"/>
      <c r="F43" s="464">
        <f>J39</f>
        <v>0</v>
      </c>
      <c r="G43" s="5">
        <v>100</v>
      </c>
      <c r="K43" s="324">
        <f t="shared" si="0"/>
        <v>0</v>
      </c>
      <c r="M43" s="328"/>
      <c r="N43" s="551"/>
      <c r="O43" s="552"/>
      <c r="P43" s="552"/>
      <c r="Q43" s="552"/>
      <c r="R43" s="552"/>
      <c r="S43" s="552"/>
      <c r="T43" s="552"/>
      <c r="U43" s="552"/>
      <c r="V43" s="552"/>
      <c r="W43" s="552"/>
      <c r="X43" s="552"/>
      <c r="Y43" s="552"/>
      <c r="Z43" s="553"/>
    </row>
    <row r="44" spans="2:35" s="5" customFormat="1" ht="24" customHeight="1" thickBot="1">
      <c r="B44" s="200"/>
      <c r="C44" s="12"/>
      <c r="D44" s="12" t="s">
        <v>68</v>
      </c>
      <c r="E44" s="328"/>
      <c r="F44" s="229" t="s">
        <v>69</v>
      </c>
      <c r="G44" s="229" t="s">
        <v>69</v>
      </c>
      <c r="H44" s="12"/>
      <c r="I44" s="12"/>
      <c r="J44" s="12"/>
      <c r="K44" s="12" t="s">
        <v>69</v>
      </c>
      <c r="L44" s="12"/>
      <c r="M44" s="325"/>
      <c r="N44" s="554"/>
      <c r="O44" s="555"/>
      <c r="P44" s="555"/>
      <c r="Q44" s="555"/>
      <c r="R44" s="555"/>
      <c r="S44" s="555"/>
      <c r="T44" s="555"/>
      <c r="U44" s="555"/>
      <c r="V44" s="555"/>
      <c r="W44" s="555"/>
      <c r="X44" s="555"/>
      <c r="Y44" s="555"/>
      <c r="Z44" s="556"/>
    </row>
    <row r="45" spans="2:35" s="5" customFormat="1" ht="29.25" customHeight="1">
      <c r="B45" s="126"/>
      <c r="E45" s="330" t="s">
        <v>70</v>
      </c>
      <c r="F45" s="331" t="s">
        <v>15</v>
      </c>
      <c r="G45" s="331" t="s">
        <v>16</v>
      </c>
      <c r="H45" s="330" t="s">
        <v>56</v>
      </c>
      <c r="I45" s="332" t="s">
        <v>57</v>
      </c>
      <c r="J45" s="333" t="s">
        <v>58</v>
      </c>
      <c r="K45" s="331" t="s">
        <v>59</v>
      </c>
      <c r="L45" s="217"/>
      <c r="M45" s="331" t="s">
        <v>60</v>
      </c>
      <c r="N45" s="97"/>
      <c r="O45" s="10"/>
      <c r="P45" s="10"/>
      <c r="Q45" s="10"/>
      <c r="R45" s="10"/>
      <c r="S45" s="10"/>
      <c r="T45" s="10"/>
      <c r="U45" s="10"/>
      <c r="V45" s="10"/>
      <c r="W45" s="10"/>
      <c r="X45" s="10"/>
      <c r="Y45" s="10"/>
      <c r="Z45" s="482"/>
    </row>
    <row r="46" spans="2:35" s="5" customFormat="1" ht="24" customHeight="1" thickBot="1">
      <c r="B46" s="218"/>
      <c r="C46" s="219" t="s">
        <v>23</v>
      </c>
      <c r="D46" s="219" t="s">
        <v>71</v>
      </c>
      <c r="E46" s="329"/>
      <c r="F46" s="220">
        <f>E18</f>
        <v>0</v>
      </c>
      <c r="G46" s="220">
        <f>F46*2</f>
        <v>0</v>
      </c>
      <c r="H46" s="465">
        <f>G46*E46</f>
        <v>0</v>
      </c>
      <c r="I46" s="466">
        <v>210</v>
      </c>
      <c r="J46" s="480">
        <f>H46/I46</f>
        <v>0</v>
      </c>
      <c r="K46" s="219"/>
      <c r="L46" s="219"/>
      <c r="M46" s="221"/>
      <c r="N46" s="548"/>
      <c r="O46" s="549"/>
      <c r="P46" s="549"/>
      <c r="Q46" s="549"/>
      <c r="R46" s="549"/>
      <c r="S46" s="549"/>
      <c r="T46" s="549"/>
      <c r="U46" s="549"/>
      <c r="V46" s="549"/>
      <c r="W46" s="549"/>
      <c r="X46" s="549"/>
      <c r="Y46" s="549"/>
      <c r="Z46" s="550"/>
    </row>
    <row r="47" spans="2:35" s="5" customFormat="1" ht="24" customHeight="1" thickBot="1">
      <c r="B47" s="126"/>
      <c r="E47" s="349" t="s">
        <v>62</v>
      </c>
      <c r="F47" s="350" t="s">
        <v>63</v>
      </c>
      <c r="G47" s="351" t="s">
        <v>64</v>
      </c>
      <c r="M47" s="116"/>
      <c r="N47" s="551"/>
      <c r="O47" s="552"/>
      <c r="P47" s="552"/>
      <c r="Q47" s="552"/>
      <c r="R47" s="552"/>
      <c r="S47" s="552"/>
      <c r="T47" s="552"/>
      <c r="U47" s="552"/>
      <c r="V47" s="552"/>
      <c r="W47" s="552"/>
      <c r="X47" s="552"/>
      <c r="Y47" s="552"/>
      <c r="Z47" s="553"/>
    </row>
    <row r="48" spans="2:35" s="5" customFormat="1" ht="24" customHeight="1" thickBot="1">
      <c r="B48" s="200"/>
      <c r="C48" s="12"/>
      <c r="D48" s="12" t="s">
        <v>72</v>
      </c>
      <c r="E48" s="329"/>
      <c r="F48" s="233">
        <f>ROUNDUP(J46, 0.1)</f>
        <v>0</v>
      </c>
      <c r="G48" s="12">
        <v>2100</v>
      </c>
      <c r="H48" s="12"/>
      <c r="I48" s="12"/>
      <c r="J48" s="12"/>
      <c r="K48" s="325">
        <f>G48*F48*E48</f>
        <v>0</v>
      </c>
      <c r="L48" s="12"/>
      <c r="M48" s="329"/>
      <c r="N48" s="554"/>
      <c r="O48" s="555"/>
      <c r="P48" s="555"/>
      <c r="Q48" s="555"/>
      <c r="R48" s="555"/>
      <c r="S48" s="555"/>
      <c r="T48" s="555"/>
      <c r="U48" s="555"/>
      <c r="V48" s="555"/>
      <c r="W48" s="555"/>
      <c r="X48" s="555"/>
      <c r="Y48" s="555"/>
      <c r="Z48" s="556"/>
    </row>
    <row r="49" spans="2:26" s="5" customFormat="1" ht="24" customHeight="1" thickBot="1">
      <c r="B49" s="200"/>
      <c r="C49" s="12" t="s">
        <v>39</v>
      </c>
      <c r="D49" s="12" t="s">
        <v>73</v>
      </c>
      <c r="E49" s="329"/>
      <c r="F49" s="229" t="s">
        <v>69</v>
      </c>
      <c r="G49" s="229" t="s">
        <v>69</v>
      </c>
      <c r="H49" s="12" t="s">
        <v>74</v>
      </c>
      <c r="I49" s="12"/>
      <c r="J49" s="12"/>
      <c r="K49" s="468" t="s">
        <v>69</v>
      </c>
      <c r="L49" s="12"/>
      <c r="M49" s="325"/>
      <c r="N49" s="554"/>
      <c r="O49" s="555"/>
      <c r="P49" s="555"/>
      <c r="Q49" s="555"/>
      <c r="R49" s="555"/>
      <c r="S49" s="555"/>
      <c r="T49" s="555"/>
      <c r="U49" s="555"/>
      <c r="V49" s="555"/>
      <c r="W49" s="555"/>
      <c r="X49" s="555"/>
      <c r="Y49" s="555"/>
      <c r="Z49" s="556"/>
    </row>
    <row r="50" spans="2:26" s="215" customFormat="1" ht="36" customHeight="1">
      <c r="B50" s="223">
        <v>2.2000000000000002</v>
      </c>
      <c r="C50" s="539" t="s">
        <v>75</v>
      </c>
      <c r="D50" s="540"/>
      <c r="E50" s="338" t="s">
        <v>33</v>
      </c>
      <c r="F50" s="337" t="s">
        <v>76</v>
      </c>
      <c r="G50" s="337" t="s">
        <v>77</v>
      </c>
      <c r="H50" s="338" t="s">
        <v>78</v>
      </c>
      <c r="I50" s="339" t="s">
        <v>79</v>
      </c>
      <c r="J50" s="340"/>
      <c r="K50" s="337" t="s">
        <v>59</v>
      </c>
      <c r="L50" s="226"/>
      <c r="M50" s="337" t="s">
        <v>60</v>
      </c>
      <c r="N50" s="541"/>
      <c r="O50" s="542"/>
      <c r="P50" s="542"/>
      <c r="Q50" s="542"/>
      <c r="R50" s="542"/>
      <c r="S50" s="542"/>
      <c r="T50" s="542"/>
      <c r="U50" s="542"/>
      <c r="V50" s="542"/>
      <c r="W50" s="542"/>
      <c r="X50" s="542"/>
      <c r="Y50" s="542"/>
      <c r="Z50" s="543"/>
    </row>
    <row r="51" spans="2:26" s="5" customFormat="1" ht="24" customHeight="1" thickBot="1">
      <c r="B51" s="218"/>
      <c r="C51" s="219" t="s">
        <v>20</v>
      </c>
      <c r="D51" s="219" t="s">
        <v>34</v>
      </c>
      <c r="E51" s="219"/>
      <c r="F51" s="219"/>
      <c r="G51" s="219"/>
      <c r="H51" s="219"/>
      <c r="I51" s="219"/>
      <c r="J51" s="219"/>
      <c r="K51" s="219"/>
      <c r="L51" s="219"/>
      <c r="M51" s="219"/>
      <c r="N51" s="548"/>
      <c r="O51" s="549"/>
      <c r="P51" s="549"/>
      <c r="Q51" s="549"/>
      <c r="R51" s="549"/>
      <c r="S51" s="549"/>
      <c r="T51" s="549"/>
      <c r="U51" s="549"/>
      <c r="V51" s="549"/>
      <c r="W51" s="549"/>
      <c r="X51" s="549"/>
      <c r="Y51" s="549"/>
      <c r="Z51" s="550"/>
    </row>
    <row r="52" spans="2:26" s="5" customFormat="1" ht="24" customHeight="1">
      <c r="B52" s="126"/>
      <c r="D52" s="5" t="s">
        <v>80</v>
      </c>
      <c r="E52" s="354">
        <f>M21</f>
        <v>0</v>
      </c>
      <c r="F52" s="355">
        <f>E33</f>
        <v>0</v>
      </c>
      <c r="G52" s="356">
        <f>I33</f>
        <v>0</v>
      </c>
      <c r="H52" s="10" t="s">
        <v>81</v>
      </c>
      <c r="I52" s="10">
        <v>850</v>
      </c>
      <c r="K52" s="322">
        <f>I52*G52</f>
        <v>0</v>
      </c>
      <c r="M52" s="326"/>
      <c r="N52" s="551"/>
      <c r="O52" s="552"/>
      <c r="P52" s="552"/>
      <c r="Q52" s="552"/>
      <c r="R52" s="552"/>
      <c r="S52" s="552"/>
      <c r="T52" s="552"/>
      <c r="U52" s="552"/>
      <c r="V52" s="552"/>
      <c r="W52" s="552"/>
      <c r="X52" s="552"/>
      <c r="Y52" s="552"/>
      <c r="Z52" s="553"/>
    </row>
    <row r="53" spans="2:26" s="5" customFormat="1" ht="24" customHeight="1">
      <c r="B53" s="126"/>
      <c r="D53" s="5" t="s">
        <v>82</v>
      </c>
      <c r="E53" s="357">
        <f>M21</f>
        <v>0</v>
      </c>
      <c r="F53" s="358">
        <f>F33</f>
        <v>100</v>
      </c>
      <c r="G53" s="359">
        <f>J33</f>
        <v>0</v>
      </c>
      <c r="H53" s="10" t="s">
        <v>81</v>
      </c>
      <c r="I53" s="10">
        <v>4250</v>
      </c>
      <c r="K53" s="323">
        <f>I53*G53</f>
        <v>0</v>
      </c>
      <c r="M53" s="327"/>
      <c r="N53" s="551"/>
      <c r="O53" s="552"/>
      <c r="P53" s="552"/>
      <c r="Q53" s="552"/>
      <c r="R53" s="552"/>
      <c r="S53" s="552"/>
      <c r="T53" s="552"/>
      <c r="U53" s="552"/>
      <c r="V53" s="552"/>
      <c r="W53" s="552"/>
      <c r="X53" s="552"/>
      <c r="Y53" s="552"/>
      <c r="Z53" s="553"/>
    </row>
    <row r="54" spans="2:26" s="5" customFormat="1" ht="24" customHeight="1" thickBot="1">
      <c r="B54" s="126"/>
      <c r="D54" s="5" t="s">
        <v>83</v>
      </c>
      <c r="E54" s="360">
        <f>M21</f>
        <v>0</v>
      </c>
      <c r="F54" s="361">
        <f>G33</f>
        <v>0</v>
      </c>
      <c r="G54" s="362">
        <f>K33</f>
        <v>0</v>
      </c>
      <c r="H54" s="10" t="s">
        <v>81</v>
      </c>
      <c r="I54" s="10">
        <v>8500</v>
      </c>
      <c r="K54" s="324">
        <f>I54*G54</f>
        <v>0</v>
      </c>
      <c r="M54" s="328"/>
      <c r="N54" s="551"/>
      <c r="O54" s="552"/>
      <c r="P54" s="552"/>
      <c r="Q54" s="552"/>
      <c r="R54" s="552"/>
      <c r="S54" s="552"/>
      <c r="T54" s="552"/>
      <c r="U54" s="552"/>
      <c r="V54" s="552"/>
      <c r="W54" s="552"/>
      <c r="X54" s="552"/>
      <c r="Y54" s="552"/>
      <c r="Z54" s="553"/>
    </row>
    <row r="55" spans="2:26" s="5" customFormat="1" ht="24" customHeight="1" thickBot="1">
      <c r="B55" s="126"/>
      <c r="C55" s="5" t="s">
        <v>23</v>
      </c>
      <c r="D55" s="5" t="s">
        <v>38</v>
      </c>
      <c r="H55" s="10"/>
      <c r="I55" s="10"/>
      <c r="N55" s="551"/>
      <c r="O55" s="552"/>
      <c r="P55" s="552"/>
      <c r="Q55" s="552"/>
      <c r="R55" s="552"/>
      <c r="S55" s="552"/>
      <c r="T55" s="552"/>
      <c r="U55" s="552"/>
      <c r="V55" s="552"/>
      <c r="W55" s="552"/>
      <c r="X55" s="552"/>
      <c r="Y55" s="552"/>
      <c r="Z55" s="553"/>
    </row>
    <row r="56" spans="2:26" s="5" customFormat="1" ht="24" customHeight="1">
      <c r="B56" s="126"/>
      <c r="D56" s="5" t="s">
        <v>80</v>
      </c>
      <c r="E56" s="354">
        <f>M24</f>
        <v>0</v>
      </c>
      <c r="F56" s="355">
        <f>E34</f>
        <v>0</v>
      </c>
      <c r="G56" s="356">
        <f>I34</f>
        <v>0</v>
      </c>
      <c r="H56" s="10" t="s">
        <v>81</v>
      </c>
      <c r="I56" s="10">
        <v>850</v>
      </c>
      <c r="K56" s="322">
        <f>I56*G56</f>
        <v>0</v>
      </c>
      <c r="M56" s="326"/>
      <c r="N56" s="551"/>
      <c r="O56" s="552"/>
      <c r="P56" s="552"/>
      <c r="Q56" s="552"/>
      <c r="R56" s="552"/>
      <c r="S56" s="552"/>
      <c r="T56" s="552"/>
      <c r="U56" s="552"/>
      <c r="V56" s="552"/>
      <c r="W56" s="552"/>
      <c r="X56" s="552"/>
      <c r="Y56" s="552"/>
      <c r="Z56" s="553"/>
    </row>
    <row r="57" spans="2:26" s="5" customFormat="1" ht="24" customHeight="1">
      <c r="B57" s="126"/>
      <c r="D57" s="5" t="s">
        <v>82</v>
      </c>
      <c r="E57" s="357">
        <f>M24</f>
        <v>0</v>
      </c>
      <c r="F57" s="358">
        <f>F34</f>
        <v>100</v>
      </c>
      <c r="G57" s="359">
        <f>J34</f>
        <v>0</v>
      </c>
      <c r="H57" s="10" t="s">
        <v>81</v>
      </c>
      <c r="I57" s="10">
        <v>4250</v>
      </c>
      <c r="K57" s="323">
        <f>I57*G57</f>
        <v>0</v>
      </c>
      <c r="M57" s="327"/>
      <c r="N57" s="551"/>
      <c r="O57" s="552"/>
      <c r="P57" s="552"/>
      <c r="Q57" s="552"/>
      <c r="R57" s="552"/>
      <c r="S57" s="552"/>
      <c r="T57" s="552"/>
      <c r="U57" s="552"/>
      <c r="V57" s="552"/>
      <c r="W57" s="552"/>
      <c r="X57" s="552"/>
      <c r="Y57" s="552"/>
      <c r="Z57" s="553"/>
    </row>
    <row r="58" spans="2:26" s="5" customFormat="1" ht="24" customHeight="1" thickBot="1">
      <c r="B58" s="126"/>
      <c r="D58" s="5" t="s">
        <v>83</v>
      </c>
      <c r="E58" s="360">
        <f>M24</f>
        <v>0</v>
      </c>
      <c r="F58" s="361">
        <f>G34</f>
        <v>0</v>
      </c>
      <c r="G58" s="362">
        <f>K34</f>
        <v>0</v>
      </c>
      <c r="H58" s="10" t="s">
        <v>81</v>
      </c>
      <c r="I58" s="10">
        <v>8500</v>
      </c>
      <c r="K58" s="324">
        <f>I58*G58</f>
        <v>0</v>
      </c>
      <c r="M58" s="328"/>
      <c r="N58" s="551"/>
      <c r="O58" s="552"/>
      <c r="P58" s="552"/>
      <c r="Q58" s="552"/>
      <c r="R58" s="552"/>
      <c r="S58" s="552"/>
      <c r="T58" s="552"/>
      <c r="U58" s="552"/>
      <c r="V58" s="552"/>
      <c r="W58" s="552"/>
      <c r="X58" s="552"/>
      <c r="Y58" s="552"/>
      <c r="Z58" s="553"/>
    </row>
    <row r="59" spans="2:26" s="5" customFormat="1" ht="24" customHeight="1" thickBot="1">
      <c r="B59" s="126"/>
      <c r="C59" s="5" t="s">
        <v>39</v>
      </c>
      <c r="D59" s="5" t="s">
        <v>40</v>
      </c>
      <c r="H59" s="10"/>
      <c r="I59" s="10"/>
      <c r="N59" s="551"/>
      <c r="O59" s="552"/>
      <c r="P59" s="552"/>
      <c r="Q59" s="552"/>
      <c r="R59" s="552"/>
      <c r="S59" s="552"/>
      <c r="T59" s="552"/>
      <c r="U59" s="552"/>
      <c r="V59" s="552"/>
      <c r="W59" s="552"/>
      <c r="X59" s="552"/>
      <c r="Y59" s="552"/>
      <c r="Z59" s="553"/>
    </row>
    <row r="60" spans="2:26" s="5" customFormat="1" ht="24" customHeight="1">
      <c r="B60" s="126"/>
      <c r="D60" s="5" t="s">
        <v>80</v>
      </c>
      <c r="E60" s="354">
        <f>M27</f>
        <v>0</v>
      </c>
      <c r="F60" s="355">
        <f>E35</f>
        <v>0</v>
      </c>
      <c r="G60" s="356">
        <f>I35</f>
        <v>0</v>
      </c>
      <c r="H60" s="10" t="s">
        <v>81</v>
      </c>
      <c r="I60" s="10">
        <v>850</v>
      </c>
      <c r="K60" s="322">
        <f>I60*G60</f>
        <v>0</v>
      </c>
      <c r="M60" s="326"/>
      <c r="N60" s="551"/>
      <c r="O60" s="552"/>
      <c r="P60" s="552"/>
      <c r="Q60" s="552"/>
      <c r="R60" s="552"/>
      <c r="S60" s="552"/>
      <c r="T60" s="552"/>
      <c r="U60" s="552"/>
      <c r="V60" s="552"/>
      <c r="W60" s="552"/>
      <c r="X60" s="552"/>
      <c r="Y60" s="552"/>
      <c r="Z60" s="553"/>
    </row>
    <row r="61" spans="2:26" s="5" customFormat="1" ht="24" customHeight="1">
      <c r="B61" s="126"/>
      <c r="D61" s="5" t="s">
        <v>84</v>
      </c>
      <c r="E61" s="357">
        <f>M27</f>
        <v>0</v>
      </c>
      <c r="F61" s="358">
        <f>F35</f>
        <v>100</v>
      </c>
      <c r="G61" s="359">
        <f>J35</f>
        <v>0</v>
      </c>
      <c r="H61" s="10" t="s">
        <v>81</v>
      </c>
      <c r="I61" s="10">
        <v>4250</v>
      </c>
      <c r="K61" s="323">
        <f>I61*G61</f>
        <v>0</v>
      </c>
      <c r="M61" s="327"/>
      <c r="N61" s="551"/>
      <c r="O61" s="552"/>
      <c r="P61" s="552"/>
      <c r="Q61" s="552"/>
      <c r="R61" s="552"/>
      <c r="S61" s="552"/>
      <c r="T61" s="552"/>
      <c r="U61" s="552"/>
      <c r="V61" s="552"/>
      <c r="W61" s="552"/>
      <c r="X61" s="552"/>
      <c r="Y61" s="552"/>
      <c r="Z61" s="553"/>
    </row>
    <row r="62" spans="2:26" s="5" customFormat="1" ht="24" customHeight="1" thickBot="1">
      <c r="B62" s="200"/>
      <c r="C62" s="12"/>
      <c r="D62" s="12" t="s">
        <v>85</v>
      </c>
      <c r="E62" s="360">
        <f>M27</f>
        <v>0</v>
      </c>
      <c r="F62" s="361">
        <f>G35</f>
        <v>0</v>
      </c>
      <c r="G62" s="362">
        <f>K35</f>
        <v>0</v>
      </c>
      <c r="H62" s="229" t="s">
        <v>81</v>
      </c>
      <c r="I62" s="229">
        <v>8500</v>
      </c>
      <c r="J62" s="12"/>
      <c r="K62" s="324">
        <f>I62*G62</f>
        <v>0</v>
      </c>
      <c r="L62" s="12"/>
      <c r="M62" s="328"/>
      <c r="N62" s="554"/>
      <c r="O62" s="555"/>
      <c r="P62" s="555"/>
      <c r="Q62" s="555"/>
      <c r="R62" s="555"/>
      <c r="S62" s="555"/>
      <c r="T62" s="555"/>
      <c r="U62" s="555"/>
      <c r="V62" s="555"/>
      <c r="W62" s="555"/>
      <c r="X62" s="555"/>
      <c r="Y62" s="555"/>
      <c r="Z62" s="556"/>
    </row>
    <row r="63" spans="2:26" s="5" customFormat="1" ht="24" customHeight="1">
      <c r="N63" s="10"/>
      <c r="O63" s="10"/>
      <c r="P63" s="10"/>
      <c r="Q63" s="10"/>
      <c r="R63" s="10"/>
      <c r="S63" s="10"/>
      <c r="T63" s="10"/>
      <c r="U63" s="10"/>
      <c r="V63" s="10"/>
      <c r="W63" s="10"/>
      <c r="X63" s="10"/>
      <c r="Y63" s="10"/>
      <c r="Z63" s="10"/>
    </row>
    <row r="64" spans="2:26" s="5" customFormat="1" ht="24" customHeight="1">
      <c r="N64" s="10"/>
      <c r="O64" s="10"/>
      <c r="P64" s="10"/>
      <c r="Q64" s="10"/>
      <c r="R64" s="10"/>
      <c r="S64" s="10"/>
      <c r="T64" s="10"/>
      <c r="U64" s="10"/>
      <c r="V64" s="10"/>
      <c r="W64" s="10"/>
      <c r="X64" s="10"/>
      <c r="Y64" s="10"/>
      <c r="Z64" s="10"/>
    </row>
    <row r="65" spans="2:34" s="5" customFormat="1" ht="24" customHeight="1">
      <c r="N65" s="10"/>
      <c r="O65" s="10"/>
      <c r="P65" s="10"/>
      <c r="Q65" s="10"/>
      <c r="R65" s="10"/>
      <c r="S65" s="10"/>
      <c r="T65" s="10"/>
      <c r="U65" s="10"/>
      <c r="V65" s="10"/>
      <c r="W65" s="10"/>
      <c r="X65" s="10"/>
      <c r="Y65" s="10"/>
      <c r="Z65" s="10"/>
    </row>
    <row r="66" spans="2:34" s="5" customFormat="1" ht="24" customHeight="1">
      <c r="N66" s="10"/>
      <c r="O66" s="10"/>
      <c r="P66" s="10"/>
      <c r="Q66" s="10"/>
      <c r="R66" s="10"/>
      <c r="S66" s="10"/>
      <c r="T66" s="10"/>
      <c r="U66" s="10"/>
      <c r="V66" s="10"/>
      <c r="W66" s="10"/>
      <c r="X66" s="10"/>
      <c r="Y66" s="10"/>
      <c r="Z66" s="10"/>
    </row>
    <row r="67" spans="2:34" s="5" customFormat="1" ht="18" customHeight="1" thickBot="1">
      <c r="D67" s="227"/>
      <c r="E67" s="9"/>
      <c r="F67" s="9"/>
      <c r="G67" s="9"/>
      <c r="H67" s="9"/>
      <c r="I67" s="9"/>
    </row>
    <row r="68" spans="2:34" s="185" customFormat="1" ht="36.75" customHeight="1" thickBot="1">
      <c r="B68" s="562" t="s">
        <v>86</v>
      </c>
      <c r="C68" s="563"/>
      <c r="D68" s="563"/>
      <c r="E68" s="563"/>
      <c r="F68" s="563"/>
      <c r="G68" s="563"/>
      <c r="H68" s="563"/>
      <c r="I68" s="563"/>
      <c r="J68" s="563"/>
      <c r="K68" s="563"/>
      <c r="L68" s="563"/>
      <c r="M68" s="564"/>
      <c r="N68" s="562" t="s">
        <v>13</v>
      </c>
      <c r="O68" s="563"/>
      <c r="P68" s="563"/>
      <c r="Q68" s="563"/>
      <c r="R68" s="563"/>
      <c r="S68" s="563"/>
      <c r="T68" s="563"/>
      <c r="U68" s="563"/>
      <c r="V68" s="563"/>
      <c r="W68" s="563"/>
      <c r="X68" s="563"/>
      <c r="Y68" s="563"/>
      <c r="Z68" s="564"/>
      <c r="AA68" s="183"/>
      <c r="AB68" s="183"/>
      <c r="AC68" s="183"/>
      <c r="AD68" s="183"/>
      <c r="AE68" s="183"/>
      <c r="AF68" s="183"/>
      <c r="AG68" s="184"/>
      <c r="AH68" s="184"/>
    </row>
    <row r="69" spans="2:34" s="215" customFormat="1" ht="36" customHeight="1" thickBot="1">
      <c r="B69" s="223">
        <v>3.1</v>
      </c>
      <c r="C69" s="539" t="s">
        <v>87</v>
      </c>
      <c r="D69" s="540"/>
      <c r="E69" s="338" t="s">
        <v>33</v>
      </c>
      <c r="F69" s="337" t="s">
        <v>29</v>
      </c>
      <c r="G69" s="338" t="s">
        <v>78</v>
      </c>
      <c r="H69" s="339" t="s">
        <v>58</v>
      </c>
      <c r="I69" s="339" t="s">
        <v>88</v>
      </c>
      <c r="J69" s="340" t="s">
        <v>89</v>
      </c>
      <c r="K69" s="337" t="s">
        <v>90</v>
      </c>
      <c r="L69" s="226"/>
      <c r="M69" s="337" t="s">
        <v>91</v>
      </c>
      <c r="N69" s="541"/>
      <c r="O69" s="542"/>
      <c r="P69" s="542"/>
      <c r="Q69" s="542"/>
      <c r="R69" s="542"/>
      <c r="S69" s="542"/>
      <c r="T69" s="542"/>
      <c r="U69" s="542"/>
      <c r="V69" s="542"/>
      <c r="W69" s="542"/>
      <c r="X69" s="542"/>
      <c r="Y69" s="542"/>
      <c r="Z69" s="543"/>
    </row>
    <row r="70" spans="2:34" s="5" customFormat="1" ht="18" customHeight="1" thickBot="1">
      <c r="B70" s="218"/>
      <c r="C70" s="219"/>
      <c r="D70" s="231" t="s">
        <v>34</v>
      </c>
      <c r="E70" s="219"/>
      <c r="F70" s="219"/>
      <c r="G70" s="219"/>
      <c r="H70" s="219"/>
      <c r="I70" s="219"/>
      <c r="J70" s="219"/>
      <c r="K70" s="219"/>
      <c r="L70" s="219"/>
      <c r="M70" s="221"/>
      <c r="N70" s="548"/>
      <c r="O70" s="549"/>
      <c r="P70" s="549"/>
      <c r="Q70" s="549"/>
      <c r="R70" s="549"/>
      <c r="S70" s="549"/>
      <c r="T70" s="549"/>
      <c r="U70" s="549"/>
      <c r="V70" s="549"/>
      <c r="W70" s="549"/>
      <c r="X70" s="549"/>
      <c r="Y70" s="549"/>
      <c r="Z70" s="550"/>
    </row>
    <row r="71" spans="2:34" s="5" customFormat="1" ht="18" customHeight="1" thickBot="1">
      <c r="B71" s="126"/>
      <c r="D71" s="513" t="s">
        <v>92</v>
      </c>
      <c r="E71" s="367">
        <f>G52</f>
        <v>0</v>
      </c>
      <c r="F71" s="368">
        <v>3.5</v>
      </c>
      <c r="G71" s="9" t="s">
        <v>93</v>
      </c>
      <c r="H71" s="384">
        <f>E71*F71</f>
        <v>0</v>
      </c>
      <c r="I71" s="363">
        <f>SUM(H71:H73)</f>
        <v>0</v>
      </c>
      <c r="J71" s="364">
        <f>ROUNDUP((I71/12), 0.1)</f>
        <v>0</v>
      </c>
      <c r="K71" s="364">
        <f>J71+J76+J81</f>
        <v>0</v>
      </c>
      <c r="L71" s="364"/>
      <c r="M71" s="365">
        <f>I71+I76+I81</f>
        <v>0</v>
      </c>
      <c r="N71" s="551"/>
      <c r="O71" s="552"/>
      <c r="P71" s="552"/>
      <c r="Q71" s="552"/>
      <c r="R71" s="552"/>
      <c r="S71" s="552"/>
      <c r="T71" s="552"/>
      <c r="U71" s="552"/>
      <c r="V71" s="552"/>
      <c r="W71" s="552"/>
      <c r="X71" s="552"/>
      <c r="Y71" s="552"/>
      <c r="Z71" s="553"/>
    </row>
    <row r="72" spans="2:34" s="5" customFormat="1" ht="18" customHeight="1">
      <c r="B72" s="126"/>
      <c r="D72" s="230" t="s">
        <v>94</v>
      </c>
      <c r="E72" s="369">
        <f>G53</f>
        <v>0</v>
      </c>
      <c r="F72" s="370">
        <v>17.5</v>
      </c>
      <c r="G72" s="9" t="s">
        <v>93</v>
      </c>
      <c r="H72" s="385">
        <f t="shared" ref="H72:H73" si="1">E72*F72</f>
        <v>0</v>
      </c>
      <c r="I72" s="9"/>
      <c r="M72" s="116"/>
      <c r="N72" s="551"/>
      <c r="O72" s="552"/>
      <c r="P72" s="552"/>
      <c r="Q72" s="552"/>
      <c r="R72" s="552"/>
      <c r="S72" s="552"/>
      <c r="T72" s="552"/>
      <c r="U72" s="552"/>
      <c r="V72" s="552"/>
      <c r="W72" s="552"/>
      <c r="X72" s="552"/>
      <c r="Y72" s="552"/>
      <c r="Z72" s="553"/>
    </row>
    <row r="73" spans="2:34" s="5" customFormat="1" ht="18" customHeight="1" thickBot="1">
      <c r="B73" s="126"/>
      <c r="D73" s="230" t="s">
        <v>95</v>
      </c>
      <c r="E73" s="371">
        <f>G54</f>
        <v>0</v>
      </c>
      <c r="F73" s="372">
        <v>35</v>
      </c>
      <c r="G73" s="9" t="s">
        <v>93</v>
      </c>
      <c r="H73" s="386">
        <f t="shared" si="1"/>
        <v>0</v>
      </c>
      <c r="I73" s="9"/>
      <c r="M73" s="116"/>
      <c r="N73" s="551"/>
      <c r="O73" s="552"/>
      <c r="P73" s="552"/>
      <c r="Q73" s="552"/>
      <c r="R73" s="552"/>
      <c r="S73" s="552"/>
      <c r="T73" s="552"/>
      <c r="U73" s="552"/>
      <c r="V73" s="552"/>
      <c r="W73" s="552"/>
      <c r="X73" s="552"/>
      <c r="Y73" s="552"/>
      <c r="Z73" s="553"/>
    </row>
    <row r="74" spans="2:34" s="5" customFormat="1" ht="18" customHeight="1">
      <c r="B74" s="126"/>
      <c r="D74" s="230"/>
      <c r="E74" s="9"/>
      <c r="F74" s="9"/>
      <c r="G74" s="9"/>
      <c r="H74" s="9"/>
      <c r="I74" s="9"/>
      <c r="M74" s="116"/>
      <c r="N74" s="551"/>
      <c r="O74" s="552"/>
      <c r="P74" s="552"/>
      <c r="Q74" s="552"/>
      <c r="R74" s="552"/>
      <c r="S74" s="552"/>
      <c r="T74" s="552"/>
      <c r="U74" s="552"/>
      <c r="V74" s="552"/>
      <c r="W74" s="552"/>
      <c r="X74" s="552"/>
      <c r="Y74" s="552"/>
      <c r="Z74" s="553"/>
    </row>
    <row r="75" spans="2:34" s="5" customFormat="1" ht="18" customHeight="1" thickBot="1">
      <c r="B75" s="126"/>
      <c r="D75" s="230" t="s">
        <v>38</v>
      </c>
      <c r="E75" s="9"/>
      <c r="F75" s="9"/>
      <c r="G75" s="9"/>
      <c r="H75" s="222"/>
      <c r="I75" s="9"/>
      <c r="M75" s="116"/>
      <c r="N75" s="551"/>
      <c r="O75" s="552"/>
      <c r="P75" s="552"/>
      <c r="Q75" s="552"/>
      <c r="R75" s="552"/>
      <c r="S75" s="552"/>
      <c r="T75" s="552"/>
      <c r="U75" s="552"/>
      <c r="V75" s="552"/>
      <c r="W75" s="552"/>
      <c r="X75" s="552"/>
      <c r="Y75" s="552"/>
      <c r="Z75" s="553"/>
    </row>
    <row r="76" spans="2:34" s="5" customFormat="1" ht="18" customHeight="1" thickBot="1">
      <c r="B76" s="126"/>
      <c r="D76" s="513" t="s">
        <v>92</v>
      </c>
      <c r="E76" s="367">
        <f>G56</f>
        <v>0</v>
      </c>
      <c r="F76" s="368">
        <v>3.5</v>
      </c>
      <c r="G76" s="9" t="s">
        <v>93</v>
      </c>
      <c r="H76" s="384">
        <f>E76*F76</f>
        <v>0</v>
      </c>
      <c r="I76" s="363">
        <f>SUM(H76:H78)</f>
        <v>0</v>
      </c>
      <c r="J76" s="366">
        <f>ROUNDUP((I76/12),0.1)</f>
        <v>0</v>
      </c>
      <c r="M76" s="116"/>
      <c r="N76" s="551"/>
      <c r="O76" s="552"/>
      <c r="P76" s="552"/>
      <c r="Q76" s="552"/>
      <c r="R76" s="552"/>
      <c r="S76" s="552"/>
      <c r="T76" s="552"/>
      <c r="U76" s="552"/>
      <c r="V76" s="552"/>
      <c r="W76" s="552"/>
      <c r="X76" s="552"/>
      <c r="Y76" s="552"/>
      <c r="Z76" s="553"/>
    </row>
    <row r="77" spans="2:34" s="5" customFormat="1" ht="18" customHeight="1">
      <c r="B77" s="126"/>
      <c r="D77" s="230" t="s">
        <v>94</v>
      </c>
      <c r="E77" s="369">
        <f>G57</f>
        <v>0</v>
      </c>
      <c r="F77" s="370">
        <v>17.5</v>
      </c>
      <c r="G77" s="9" t="s">
        <v>93</v>
      </c>
      <c r="H77" s="385">
        <f t="shared" ref="H77:H78" si="2">E77*F77</f>
        <v>0</v>
      </c>
      <c r="I77" s="230"/>
      <c r="J77" s="230"/>
      <c r="M77" s="116"/>
      <c r="N77" s="551"/>
      <c r="O77" s="552"/>
      <c r="P77" s="552"/>
      <c r="Q77" s="552"/>
      <c r="R77" s="552"/>
      <c r="S77" s="552"/>
      <c r="T77" s="552"/>
      <c r="U77" s="552"/>
      <c r="V77" s="552"/>
      <c r="W77" s="552"/>
      <c r="X77" s="552"/>
      <c r="Y77" s="552"/>
      <c r="Z77" s="553"/>
    </row>
    <row r="78" spans="2:34" s="5" customFormat="1" ht="18" customHeight="1" thickBot="1">
      <c r="B78" s="126"/>
      <c r="D78" s="230" t="s">
        <v>95</v>
      </c>
      <c r="E78" s="371">
        <f>G58</f>
        <v>0</v>
      </c>
      <c r="F78" s="372">
        <v>35</v>
      </c>
      <c r="G78" s="9" t="s">
        <v>93</v>
      </c>
      <c r="H78" s="386">
        <f t="shared" si="2"/>
        <v>0</v>
      </c>
      <c r="I78" s="230"/>
      <c r="J78" s="230"/>
      <c r="M78" s="116"/>
      <c r="N78" s="551"/>
      <c r="O78" s="552"/>
      <c r="P78" s="552"/>
      <c r="Q78" s="552"/>
      <c r="R78" s="552"/>
      <c r="S78" s="552"/>
      <c r="T78" s="552"/>
      <c r="U78" s="552"/>
      <c r="V78" s="552"/>
      <c r="W78" s="552"/>
      <c r="X78" s="552"/>
      <c r="Y78" s="552"/>
      <c r="Z78" s="553"/>
    </row>
    <row r="79" spans="2:34" s="5" customFormat="1" ht="18" customHeight="1">
      <c r="B79" s="126"/>
      <c r="D79" s="230"/>
      <c r="E79" s="9"/>
      <c r="F79" s="9"/>
      <c r="G79" s="9"/>
      <c r="H79" s="9"/>
      <c r="I79" s="230"/>
      <c r="J79" s="230"/>
      <c r="M79" s="116"/>
      <c r="N79" s="551"/>
      <c r="O79" s="552"/>
      <c r="P79" s="552"/>
      <c r="Q79" s="552"/>
      <c r="R79" s="552"/>
      <c r="S79" s="552"/>
      <c r="T79" s="552"/>
      <c r="U79" s="552"/>
      <c r="V79" s="552"/>
      <c r="W79" s="552"/>
      <c r="X79" s="552"/>
      <c r="Y79" s="552"/>
      <c r="Z79" s="553"/>
    </row>
    <row r="80" spans="2:34" s="5" customFormat="1" ht="18" customHeight="1" thickBot="1">
      <c r="B80" s="126"/>
      <c r="D80" s="230" t="s">
        <v>40</v>
      </c>
      <c r="E80" s="9"/>
      <c r="F80" s="9"/>
      <c r="G80" s="9"/>
      <c r="H80" s="9"/>
      <c r="I80" s="230"/>
      <c r="J80" s="230"/>
      <c r="M80" s="116"/>
      <c r="N80" s="551"/>
      <c r="O80" s="552"/>
      <c r="P80" s="552"/>
      <c r="Q80" s="552"/>
      <c r="R80" s="552"/>
      <c r="S80" s="552"/>
      <c r="T80" s="552"/>
      <c r="U80" s="552"/>
      <c r="V80" s="552"/>
      <c r="W80" s="552"/>
      <c r="X80" s="552"/>
      <c r="Y80" s="552"/>
      <c r="Z80" s="553"/>
    </row>
    <row r="81" spans="2:34" s="5" customFormat="1" ht="18" customHeight="1" thickBot="1">
      <c r="B81" s="126"/>
      <c r="D81" s="513" t="s">
        <v>92</v>
      </c>
      <c r="E81" s="367">
        <f>G60</f>
        <v>0</v>
      </c>
      <c r="F81" s="368">
        <v>3.5</v>
      </c>
      <c r="G81" s="9" t="s">
        <v>93</v>
      </c>
      <c r="H81" s="384">
        <f>E81*F81</f>
        <v>0</v>
      </c>
      <c r="I81" s="363">
        <f>SUM(H81:H83)</f>
        <v>0</v>
      </c>
      <c r="J81" s="366">
        <f>ROUNDUP((I81/12),0.1)</f>
        <v>0</v>
      </c>
      <c r="M81" s="116"/>
      <c r="N81" s="551"/>
      <c r="O81" s="552"/>
      <c r="P81" s="552"/>
      <c r="Q81" s="552"/>
      <c r="R81" s="552"/>
      <c r="S81" s="552"/>
      <c r="T81" s="552"/>
      <c r="U81" s="552"/>
      <c r="V81" s="552"/>
      <c r="W81" s="552"/>
      <c r="X81" s="552"/>
      <c r="Y81" s="552"/>
      <c r="Z81" s="553"/>
    </row>
    <row r="82" spans="2:34" s="5" customFormat="1" ht="18" customHeight="1">
      <c r="B82" s="126"/>
      <c r="D82" s="230" t="s">
        <v>94</v>
      </c>
      <c r="E82" s="369">
        <f>G61</f>
        <v>0</v>
      </c>
      <c r="F82" s="370">
        <v>17.5</v>
      </c>
      <c r="G82" s="9" t="s">
        <v>93</v>
      </c>
      <c r="H82" s="385">
        <f t="shared" ref="H82:H83" si="3">E82*F82</f>
        <v>0</v>
      </c>
      <c r="I82" s="9"/>
      <c r="M82" s="116"/>
      <c r="N82" s="551"/>
      <c r="O82" s="552"/>
      <c r="P82" s="552"/>
      <c r="Q82" s="552"/>
      <c r="R82" s="552"/>
      <c r="S82" s="552"/>
      <c r="T82" s="552"/>
      <c r="U82" s="552"/>
      <c r="V82" s="552"/>
      <c r="W82" s="552"/>
      <c r="X82" s="552"/>
      <c r="Y82" s="552"/>
      <c r="Z82" s="553"/>
    </row>
    <row r="83" spans="2:34" s="5" customFormat="1" ht="18" customHeight="1" thickBot="1">
      <c r="B83" s="126"/>
      <c r="D83" s="230" t="s">
        <v>95</v>
      </c>
      <c r="E83" s="371">
        <f>G62</f>
        <v>0</v>
      </c>
      <c r="F83" s="372">
        <v>35</v>
      </c>
      <c r="G83" s="9" t="s">
        <v>93</v>
      </c>
      <c r="H83" s="386">
        <f t="shared" si="3"/>
        <v>0</v>
      </c>
      <c r="I83" s="9"/>
      <c r="M83" s="116"/>
      <c r="N83" s="551"/>
      <c r="O83" s="552"/>
      <c r="P83" s="552"/>
      <c r="Q83" s="552"/>
      <c r="R83" s="552"/>
      <c r="S83" s="552"/>
      <c r="T83" s="552"/>
      <c r="U83" s="552"/>
      <c r="V83" s="552"/>
      <c r="W83" s="552"/>
      <c r="X83" s="552"/>
      <c r="Y83" s="552"/>
      <c r="Z83" s="553"/>
    </row>
    <row r="84" spans="2:34" s="5" customFormat="1" ht="18" customHeight="1" thickBot="1">
      <c r="B84" s="200"/>
      <c r="C84" s="12"/>
      <c r="D84" s="232"/>
      <c r="E84" s="17"/>
      <c r="F84" s="17"/>
      <c r="G84" s="17"/>
      <c r="H84" s="17"/>
      <c r="I84" s="17"/>
      <c r="J84" s="12"/>
      <c r="K84" s="12"/>
      <c r="L84" s="12"/>
      <c r="M84" s="201"/>
      <c r="N84" s="551"/>
      <c r="O84" s="552"/>
      <c r="P84" s="552"/>
      <c r="Q84" s="552"/>
      <c r="R84" s="552"/>
      <c r="S84" s="552"/>
      <c r="T84" s="552"/>
      <c r="U84" s="552"/>
      <c r="V84" s="552"/>
      <c r="W84" s="552"/>
      <c r="X84" s="552"/>
      <c r="Y84" s="552"/>
      <c r="Z84" s="553"/>
    </row>
    <row r="85" spans="2:34" s="5" customFormat="1" ht="29.25" customHeight="1" thickBot="1">
      <c r="B85" s="224">
        <v>3.2</v>
      </c>
      <c r="C85" s="544" t="s">
        <v>96</v>
      </c>
      <c r="D85" s="545"/>
      <c r="E85" s="338" t="s">
        <v>29</v>
      </c>
      <c r="F85" s="338" t="s">
        <v>78</v>
      </c>
      <c r="G85" s="338" t="s">
        <v>97</v>
      </c>
      <c r="H85" s="338"/>
      <c r="I85" s="338"/>
      <c r="J85" s="338"/>
      <c r="K85" s="338" t="s">
        <v>59</v>
      </c>
      <c r="L85" s="338"/>
      <c r="M85" s="338" t="s">
        <v>60</v>
      </c>
      <c r="N85" s="551"/>
      <c r="O85" s="552"/>
      <c r="P85" s="552"/>
      <c r="Q85" s="552"/>
      <c r="R85" s="552"/>
      <c r="S85" s="552"/>
      <c r="T85" s="552"/>
      <c r="U85" s="552"/>
      <c r="V85" s="552"/>
      <c r="W85" s="552"/>
      <c r="X85" s="552"/>
      <c r="Y85" s="552"/>
      <c r="Z85" s="553"/>
    </row>
    <row r="86" spans="2:34" s="5" customFormat="1" ht="18" customHeight="1" thickBot="1">
      <c r="B86" s="200"/>
      <c r="C86" s="12" t="s">
        <v>20</v>
      </c>
      <c r="D86" s="232" t="s">
        <v>98</v>
      </c>
      <c r="E86" s="387">
        <f>K71</f>
        <v>0</v>
      </c>
      <c r="F86" s="17" t="s">
        <v>99</v>
      </c>
      <c r="G86" s="17">
        <v>200</v>
      </c>
      <c r="H86" s="17"/>
      <c r="I86" s="17"/>
      <c r="J86" s="12"/>
      <c r="K86" s="324">
        <f>E86*G86</f>
        <v>0</v>
      </c>
      <c r="L86" s="200"/>
      <c r="M86" s="328"/>
      <c r="N86" s="554"/>
      <c r="O86" s="555"/>
      <c r="P86" s="555"/>
      <c r="Q86" s="555"/>
      <c r="R86" s="555"/>
      <c r="S86" s="555"/>
      <c r="T86" s="555"/>
      <c r="U86" s="555"/>
      <c r="V86" s="555"/>
      <c r="W86" s="555"/>
      <c r="X86" s="555"/>
      <c r="Y86" s="555"/>
      <c r="Z86" s="556"/>
    </row>
    <row r="87" spans="2:34" s="5" customFormat="1" ht="18" customHeight="1"/>
    <row r="88" spans="2:34" s="5" customFormat="1" ht="18" customHeight="1">
      <c r="C88" s="12"/>
      <c r="D88" s="16"/>
      <c r="E88" s="17"/>
      <c r="F88" s="17"/>
      <c r="G88" s="17"/>
      <c r="H88" s="17"/>
      <c r="I88" s="17"/>
      <c r="J88" s="12"/>
      <c r="K88" s="12"/>
    </row>
    <row r="89" spans="2:34" s="185" customFormat="1" ht="36.75" customHeight="1">
      <c r="B89" s="562" t="s">
        <v>100</v>
      </c>
      <c r="C89" s="563"/>
      <c r="D89" s="563"/>
      <c r="E89" s="563"/>
      <c r="F89" s="563"/>
      <c r="G89" s="563"/>
      <c r="H89" s="563"/>
      <c r="I89" s="563"/>
      <c r="J89" s="563"/>
      <c r="K89" s="565"/>
      <c r="L89" s="565"/>
      <c r="M89" s="566"/>
      <c r="N89" s="562" t="s">
        <v>13</v>
      </c>
      <c r="O89" s="563"/>
      <c r="P89" s="563"/>
      <c r="Q89" s="563"/>
      <c r="R89" s="563"/>
      <c r="S89" s="563"/>
      <c r="T89" s="563"/>
      <c r="U89" s="563"/>
      <c r="V89" s="563"/>
      <c r="W89" s="563"/>
      <c r="X89" s="563"/>
      <c r="Y89" s="563"/>
      <c r="Z89" s="564"/>
      <c r="AA89" s="183"/>
      <c r="AB89" s="183"/>
      <c r="AC89" s="183"/>
      <c r="AD89" s="183"/>
      <c r="AE89" s="183"/>
      <c r="AF89" s="183"/>
      <c r="AG89" s="184"/>
      <c r="AH89" s="184"/>
    </row>
    <row r="90" spans="2:34" s="5" customFormat="1" ht="18" customHeight="1">
      <c r="B90" s="173">
        <v>4.0999999999999996</v>
      </c>
      <c r="C90" s="584" t="s">
        <v>101</v>
      </c>
      <c r="D90" s="585"/>
      <c r="E90" s="390" t="s">
        <v>29</v>
      </c>
      <c r="F90" s="374" t="s">
        <v>78</v>
      </c>
      <c r="G90" s="374" t="s">
        <v>102</v>
      </c>
      <c r="H90" s="375"/>
      <c r="I90" s="376"/>
      <c r="J90" s="377"/>
      <c r="K90" s="494" t="s">
        <v>59</v>
      </c>
      <c r="L90" s="495"/>
      <c r="M90" s="494" t="s">
        <v>60</v>
      </c>
      <c r="N90" s="174"/>
      <c r="O90" s="175"/>
      <c r="P90" s="175"/>
      <c r="Q90" s="175"/>
      <c r="R90" s="175"/>
      <c r="S90" s="175"/>
      <c r="T90" s="175"/>
      <c r="U90" s="175"/>
      <c r="V90" s="175"/>
      <c r="W90" s="175"/>
      <c r="X90" s="175"/>
      <c r="Y90" s="174"/>
      <c r="Z90" s="176"/>
    </row>
    <row r="91" spans="2:34" s="5" customFormat="1" ht="18" customHeight="1" outlineLevel="1">
      <c r="B91" s="36"/>
      <c r="C91" s="117" t="s">
        <v>20</v>
      </c>
      <c r="D91" s="44" t="s">
        <v>103</v>
      </c>
      <c r="E91" s="391"/>
      <c r="F91" s="388" t="s">
        <v>104</v>
      </c>
      <c r="G91" s="130">
        <v>220</v>
      </c>
      <c r="H91" s="112" t="s">
        <v>105</v>
      </c>
      <c r="I91" s="58"/>
      <c r="J91" s="77"/>
      <c r="K91" s="496">
        <f>E91*G91</f>
        <v>0</v>
      </c>
      <c r="L91" s="497"/>
      <c r="M91" s="498"/>
      <c r="N91" s="546"/>
      <c r="O91" s="546"/>
      <c r="P91" s="546"/>
      <c r="Q91" s="546"/>
      <c r="R91" s="546"/>
      <c r="S91" s="546"/>
      <c r="T91" s="546"/>
      <c r="U91" s="546"/>
      <c r="V91" s="546"/>
      <c r="W91" s="546"/>
      <c r="X91" s="546"/>
      <c r="Y91" s="546"/>
      <c r="Z91" s="547"/>
    </row>
    <row r="92" spans="2:34" s="5" customFormat="1" ht="18" customHeight="1" outlineLevel="1">
      <c r="B92" s="38"/>
      <c r="C92" s="118" t="s">
        <v>23</v>
      </c>
      <c r="D92" s="45" t="s">
        <v>106</v>
      </c>
      <c r="E92" s="392"/>
      <c r="F92" s="107" t="s">
        <v>104</v>
      </c>
      <c r="G92" s="73">
        <v>220</v>
      </c>
      <c r="H92" s="132" t="s">
        <v>107</v>
      </c>
      <c r="I92" s="112"/>
      <c r="J92" s="78"/>
      <c r="K92" s="496">
        <f>E92*G92</f>
        <v>0</v>
      </c>
      <c r="L92" s="497"/>
      <c r="M92" s="498"/>
      <c r="N92" s="546"/>
      <c r="O92" s="546"/>
      <c r="P92" s="546"/>
      <c r="Q92" s="546"/>
      <c r="R92" s="546"/>
      <c r="S92" s="546"/>
      <c r="T92" s="546"/>
      <c r="U92" s="546"/>
      <c r="V92" s="546"/>
      <c r="W92" s="546"/>
      <c r="X92" s="546"/>
      <c r="Y92" s="546"/>
      <c r="Z92" s="547"/>
    </row>
    <row r="93" spans="2:34" s="5" customFormat="1" ht="18" customHeight="1" outlineLevel="1">
      <c r="B93" s="38"/>
      <c r="C93" s="118" t="s">
        <v>39</v>
      </c>
      <c r="D93" s="45" t="s">
        <v>108</v>
      </c>
      <c r="E93" s="392"/>
      <c r="F93" s="107" t="s">
        <v>104</v>
      </c>
      <c r="G93" s="74">
        <v>150</v>
      </c>
      <c r="H93" s="143" t="s">
        <v>107</v>
      </c>
      <c r="I93" s="63"/>
      <c r="J93" s="78"/>
      <c r="K93" s="496">
        <f>E93*G93</f>
        <v>0</v>
      </c>
      <c r="L93" s="497"/>
      <c r="M93" s="498"/>
      <c r="N93" s="546"/>
      <c r="O93" s="546"/>
      <c r="P93" s="546"/>
      <c r="Q93" s="546"/>
      <c r="R93" s="546"/>
      <c r="S93" s="546"/>
      <c r="T93" s="546"/>
      <c r="U93" s="546"/>
      <c r="V93" s="546"/>
      <c r="W93" s="546"/>
      <c r="X93" s="546"/>
      <c r="Y93" s="546"/>
      <c r="Z93" s="547"/>
    </row>
    <row r="94" spans="2:34" s="5" customFormat="1" ht="18" customHeight="1" outlineLevel="1">
      <c r="B94" s="38"/>
      <c r="C94" s="118" t="s">
        <v>109</v>
      </c>
      <c r="D94" s="45" t="s">
        <v>110</v>
      </c>
      <c r="E94" s="392"/>
      <c r="F94" s="107" t="s">
        <v>104</v>
      </c>
      <c r="G94" s="74">
        <v>150</v>
      </c>
      <c r="H94" s="112" t="s">
        <v>107</v>
      </c>
      <c r="I94" s="59"/>
      <c r="J94" s="78"/>
      <c r="K94" s="499" t="s">
        <v>111</v>
      </c>
      <c r="L94" s="497"/>
      <c r="M94" s="500">
        <f>SUM(K91:M93)</f>
        <v>0</v>
      </c>
      <c r="N94" s="546"/>
      <c r="O94" s="546"/>
      <c r="P94" s="546"/>
      <c r="Q94" s="546"/>
      <c r="R94" s="546"/>
      <c r="S94" s="546"/>
      <c r="T94" s="546"/>
      <c r="U94" s="546"/>
      <c r="V94" s="546"/>
      <c r="W94" s="546"/>
      <c r="X94" s="546"/>
      <c r="Y94" s="546"/>
      <c r="Z94" s="547"/>
    </row>
    <row r="95" spans="2:34" s="5" customFormat="1" ht="18" customHeight="1" outlineLevel="1">
      <c r="B95" s="38"/>
      <c r="C95" s="118" t="s">
        <v>112</v>
      </c>
      <c r="D95" s="45" t="s">
        <v>113</v>
      </c>
      <c r="E95" s="392"/>
      <c r="F95" s="107" t="s">
        <v>104</v>
      </c>
      <c r="G95" s="74">
        <v>100</v>
      </c>
      <c r="H95" s="79"/>
      <c r="I95" s="59"/>
      <c r="J95" s="78"/>
      <c r="K95" s="494" t="s">
        <v>59</v>
      </c>
      <c r="L95" s="495"/>
      <c r="M95" s="494" t="s">
        <v>60</v>
      </c>
      <c r="N95" s="546"/>
      <c r="O95" s="546"/>
      <c r="P95" s="546"/>
      <c r="Q95" s="546"/>
      <c r="R95" s="546"/>
      <c r="S95" s="546"/>
      <c r="T95" s="546"/>
      <c r="U95" s="546"/>
      <c r="V95" s="546"/>
      <c r="W95" s="546"/>
      <c r="X95" s="546"/>
      <c r="Y95" s="546"/>
      <c r="Z95" s="547"/>
    </row>
    <row r="96" spans="2:34" s="5" customFormat="1" ht="18" customHeight="1" outlineLevel="1" thickBot="1">
      <c r="B96" s="38"/>
      <c r="C96" s="118" t="s">
        <v>114</v>
      </c>
      <c r="D96" s="45" t="s">
        <v>115</v>
      </c>
      <c r="E96" s="393" t="s">
        <v>69</v>
      </c>
      <c r="F96" s="389" t="s">
        <v>69</v>
      </c>
      <c r="G96" s="127" t="s">
        <v>69</v>
      </c>
      <c r="H96" s="148" t="s">
        <v>116</v>
      </c>
      <c r="I96" s="101"/>
      <c r="J96" s="102"/>
      <c r="K96" s="497"/>
      <c r="L96" s="497"/>
      <c r="M96" s="497"/>
      <c r="N96" s="546"/>
      <c r="O96" s="546"/>
      <c r="P96" s="546"/>
      <c r="Q96" s="546"/>
      <c r="R96" s="546"/>
      <c r="S96" s="546"/>
      <c r="T96" s="546"/>
      <c r="U96" s="546"/>
      <c r="V96" s="546"/>
      <c r="W96" s="546"/>
      <c r="X96" s="546"/>
      <c r="Y96" s="546"/>
      <c r="Z96" s="547"/>
    </row>
    <row r="97" spans="2:26" s="5" customFormat="1" ht="18" customHeight="1" outlineLevel="1" thickBot="1">
      <c r="B97" s="38"/>
      <c r="C97" s="118" t="s">
        <v>117</v>
      </c>
      <c r="D97" s="45" t="s">
        <v>118</v>
      </c>
      <c r="E97" s="142"/>
      <c r="F97" s="13"/>
      <c r="G97" s="74"/>
      <c r="H97" s="79"/>
      <c r="I97" s="59"/>
      <c r="J97" s="78"/>
      <c r="K97" s="496">
        <f>E97*G97</f>
        <v>0</v>
      </c>
      <c r="L97" s="497"/>
      <c r="M97" s="498"/>
      <c r="N97" s="546"/>
      <c r="O97" s="546"/>
      <c r="P97" s="546"/>
      <c r="Q97" s="546"/>
      <c r="R97" s="546"/>
      <c r="S97" s="546"/>
      <c r="T97" s="546"/>
      <c r="U97" s="546"/>
      <c r="V97" s="546"/>
      <c r="W97" s="546"/>
      <c r="X97" s="546"/>
      <c r="Y97" s="546"/>
      <c r="Z97" s="547"/>
    </row>
    <row r="98" spans="2:26" s="5" customFormat="1" ht="18" customHeight="1" outlineLevel="1">
      <c r="B98" s="38"/>
      <c r="C98" s="118"/>
      <c r="D98" s="45" t="s">
        <v>119</v>
      </c>
      <c r="E98" s="391"/>
      <c r="F98" s="107" t="s">
        <v>120</v>
      </c>
      <c r="G98" s="74">
        <v>100</v>
      </c>
      <c r="H98" s="79"/>
      <c r="I98" s="59"/>
      <c r="J98" s="78"/>
      <c r="K98" s="496">
        <f>E98*G98</f>
        <v>0</v>
      </c>
      <c r="L98" s="497"/>
      <c r="M98" s="498"/>
      <c r="N98" s="546"/>
      <c r="O98" s="546"/>
      <c r="P98" s="546"/>
      <c r="Q98" s="546"/>
      <c r="R98" s="546"/>
      <c r="S98" s="546"/>
      <c r="T98" s="546"/>
      <c r="U98" s="546"/>
      <c r="V98" s="546"/>
      <c r="W98" s="546"/>
      <c r="X98" s="546"/>
      <c r="Y98" s="546"/>
      <c r="Z98" s="547"/>
    </row>
    <row r="99" spans="2:26" s="5" customFormat="1" ht="18" customHeight="1" outlineLevel="1">
      <c r="B99" s="70"/>
      <c r="C99" s="114"/>
      <c r="D99" s="100" t="s">
        <v>121</v>
      </c>
      <c r="E99" s="398"/>
      <c r="F99" s="133" t="s">
        <v>104</v>
      </c>
      <c r="G99" s="124">
        <v>220</v>
      </c>
      <c r="H99" s="112" t="s">
        <v>122</v>
      </c>
      <c r="I99" s="101"/>
      <c r="J99" s="102"/>
      <c r="K99" s="496">
        <f>E99*G99</f>
        <v>0</v>
      </c>
      <c r="L99" s="497"/>
      <c r="M99" s="498"/>
      <c r="N99" s="546"/>
      <c r="O99" s="546"/>
      <c r="P99" s="546"/>
      <c r="Q99" s="546"/>
      <c r="R99" s="546"/>
      <c r="S99" s="546"/>
      <c r="T99" s="546"/>
      <c r="U99" s="546"/>
      <c r="V99" s="546"/>
      <c r="W99" s="546"/>
      <c r="X99" s="546"/>
      <c r="Y99" s="546"/>
      <c r="Z99" s="547"/>
    </row>
    <row r="100" spans="2:26" s="5" customFormat="1" ht="18" customHeight="1" outlineLevel="1" thickBot="1">
      <c r="B100" s="70"/>
      <c r="C100" s="114"/>
      <c r="D100" s="45" t="s">
        <v>123</v>
      </c>
      <c r="E100" s="399"/>
      <c r="F100" s="107" t="s">
        <v>104</v>
      </c>
      <c r="G100" s="73">
        <v>100</v>
      </c>
      <c r="H100" s="112" t="s">
        <v>124</v>
      </c>
      <c r="I100" s="59"/>
      <c r="J100" s="78"/>
      <c r="K100" s="499" t="s">
        <v>111</v>
      </c>
      <c r="L100" s="497"/>
      <c r="M100" s="500">
        <f>SUM(K97:M99)</f>
        <v>0</v>
      </c>
      <c r="N100" s="546"/>
      <c r="O100" s="546"/>
      <c r="P100" s="546"/>
      <c r="Q100" s="546"/>
      <c r="R100" s="546"/>
      <c r="S100" s="546"/>
      <c r="T100" s="546"/>
      <c r="U100" s="546"/>
      <c r="V100" s="546"/>
      <c r="W100" s="546"/>
      <c r="X100" s="546"/>
      <c r="Y100" s="546"/>
      <c r="Z100" s="547"/>
    </row>
    <row r="101" spans="2:26" s="5" customFormat="1" ht="18" customHeight="1" outlineLevel="1" thickBot="1">
      <c r="B101" s="70"/>
      <c r="C101" s="114" t="s">
        <v>125</v>
      </c>
      <c r="D101" s="100" t="s">
        <v>126</v>
      </c>
      <c r="E101" s="142"/>
      <c r="F101" s="96"/>
      <c r="G101" s="113"/>
      <c r="H101" s="112"/>
      <c r="I101" s="101"/>
      <c r="J101" s="102"/>
      <c r="K101" s="494" t="s">
        <v>59</v>
      </c>
      <c r="L101" s="495"/>
      <c r="M101" s="494" t="s">
        <v>60</v>
      </c>
      <c r="N101" s="546"/>
      <c r="O101" s="546"/>
      <c r="P101" s="546"/>
      <c r="Q101" s="546"/>
      <c r="R101" s="546"/>
      <c r="S101" s="546"/>
      <c r="T101" s="546"/>
      <c r="U101" s="546"/>
      <c r="V101" s="546"/>
      <c r="W101" s="546"/>
      <c r="X101" s="546"/>
      <c r="Y101" s="546"/>
      <c r="Z101" s="547"/>
    </row>
    <row r="102" spans="2:26" s="5" customFormat="1" ht="18" customHeight="1" outlineLevel="1">
      <c r="B102" s="70"/>
      <c r="C102" s="114"/>
      <c r="D102" s="100" t="s">
        <v>127</v>
      </c>
      <c r="E102" s="401"/>
      <c r="F102" s="133" t="s">
        <v>104</v>
      </c>
      <c r="G102" s="113">
        <v>250</v>
      </c>
      <c r="H102" s="112"/>
      <c r="I102" s="101"/>
      <c r="J102" s="102"/>
      <c r="K102" s="496">
        <f>(E102*G102)</f>
        <v>0</v>
      </c>
      <c r="L102" s="497"/>
      <c r="M102" s="498"/>
      <c r="N102" s="546"/>
      <c r="O102" s="546"/>
      <c r="P102" s="546"/>
      <c r="Q102" s="546"/>
      <c r="R102" s="546"/>
      <c r="S102" s="546"/>
      <c r="T102" s="546"/>
      <c r="U102" s="546"/>
      <c r="V102" s="546"/>
      <c r="W102" s="546"/>
      <c r="X102" s="546"/>
      <c r="Y102" s="546"/>
      <c r="Z102" s="547"/>
    </row>
    <row r="103" spans="2:26" s="5" customFormat="1" ht="18" customHeight="1" outlineLevel="1" thickBot="1">
      <c r="B103" s="70"/>
      <c r="C103" s="114"/>
      <c r="D103" s="100" t="s">
        <v>128</v>
      </c>
      <c r="E103" s="399"/>
      <c r="F103" s="133" t="s">
        <v>104</v>
      </c>
      <c r="G103" s="113">
        <v>200</v>
      </c>
      <c r="H103" s="112"/>
      <c r="I103" s="101"/>
      <c r="J103" s="102"/>
      <c r="K103" s="496">
        <f>(E103*G103)</f>
        <v>0</v>
      </c>
      <c r="L103" s="497"/>
      <c r="M103" s="498"/>
      <c r="N103" s="546"/>
      <c r="O103" s="546"/>
      <c r="P103" s="546"/>
      <c r="Q103" s="546"/>
      <c r="R103" s="546"/>
      <c r="S103" s="546"/>
      <c r="T103" s="546"/>
      <c r="U103" s="546"/>
      <c r="V103" s="546"/>
      <c r="W103" s="546"/>
      <c r="X103" s="546"/>
      <c r="Y103" s="546"/>
      <c r="Z103" s="547"/>
    </row>
    <row r="104" spans="2:26" s="115" customFormat="1" ht="18" customHeight="1" outlineLevel="1" thickBot="1">
      <c r="B104" s="70"/>
      <c r="C104" s="114" t="s">
        <v>129</v>
      </c>
      <c r="D104" s="100" t="s">
        <v>130</v>
      </c>
      <c r="E104" s="400"/>
      <c r="F104" s="378"/>
      <c r="G104" s="379"/>
      <c r="H104" s="380"/>
      <c r="I104" s="381"/>
      <c r="J104" s="382"/>
      <c r="K104" s="510"/>
      <c r="L104" s="511"/>
      <c r="M104" s="511"/>
      <c r="N104" s="546"/>
      <c r="O104" s="546"/>
      <c r="P104" s="546"/>
      <c r="Q104" s="546"/>
      <c r="R104" s="546"/>
      <c r="S104" s="546"/>
      <c r="T104" s="546"/>
      <c r="U104" s="546"/>
      <c r="V104" s="546"/>
      <c r="W104" s="546"/>
      <c r="X104" s="546"/>
      <c r="Y104" s="546"/>
      <c r="Z104" s="547"/>
    </row>
    <row r="105" spans="2:26" s="5" customFormat="1" ht="18" customHeight="1" outlineLevel="1">
      <c r="B105" s="38"/>
      <c r="C105" s="118"/>
      <c r="D105" s="45" t="s">
        <v>131</v>
      </c>
      <c r="E105" s="391"/>
      <c r="F105" s="107" t="s">
        <v>132</v>
      </c>
      <c r="G105" s="74">
        <v>200</v>
      </c>
      <c r="H105" s="79"/>
      <c r="I105" s="59"/>
      <c r="J105" s="78"/>
      <c r="K105" s="496">
        <f>E105*G105</f>
        <v>0</v>
      </c>
      <c r="L105" s="497"/>
      <c r="M105" s="498"/>
      <c r="N105" s="546"/>
      <c r="O105" s="546"/>
      <c r="P105" s="546"/>
      <c r="Q105" s="546"/>
      <c r="R105" s="546"/>
      <c r="S105" s="546"/>
      <c r="T105" s="546"/>
      <c r="U105" s="546"/>
      <c r="V105" s="546"/>
      <c r="W105" s="546"/>
      <c r="X105" s="546"/>
      <c r="Y105" s="546"/>
      <c r="Z105" s="547"/>
    </row>
    <row r="106" spans="2:26" s="5" customFormat="1" ht="18" customHeight="1" outlineLevel="1">
      <c r="B106" s="70"/>
      <c r="C106" s="114"/>
      <c r="D106" s="100" t="s">
        <v>133</v>
      </c>
      <c r="E106" s="392"/>
      <c r="F106" s="107" t="s">
        <v>120</v>
      </c>
      <c r="G106" s="74">
        <v>460</v>
      </c>
      <c r="H106" s="131"/>
      <c r="I106" s="101"/>
      <c r="J106" s="102"/>
      <c r="K106" s="496">
        <f>E106*G106</f>
        <v>0</v>
      </c>
      <c r="L106" s="497"/>
      <c r="M106" s="498"/>
      <c r="N106" s="546"/>
      <c r="O106" s="546"/>
      <c r="P106" s="546"/>
      <c r="Q106" s="546"/>
      <c r="R106" s="546"/>
      <c r="S106" s="546"/>
      <c r="T106" s="546"/>
      <c r="U106" s="546"/>
      <c r="V106" s="546"/>
      <c r="W106" s="546"/>
      <c r="X106" s="546"/>
      <c r="Y106" s="546"/>
      <c r="Z106" s="547"/>
    </row>
    <row r="107" spans="2:26" s="5" customFormat="1" ht="18" customHeight="1" outlineLevel="1" thickBot="1">
      <c r="B107" s="70"/>
      <c r="C107" s="114"/>
      <c r="D107" s="100" t="s">
        <v>134</v>
      </c>
      <c r="E107" s="399"/>
      <c r="F107" s="107" t="s">
        <v>120</v>
      </c>
      <c r="G107" s="124">
        <v>4800</v>
      </c>
      <c r="H107" s="131"/>
      <c r="I107" s="101"/>
      <c r="J107" s="102"/>
      <c r="K107" s="496">
        <f>E107*G107</f>
        <v>0</v>
      </c>
      <c r="L107" s="497"/>
      <c r="M107" s="498"/>
      <c r="N107" s="546"/>
      <c r="O107" s="546"/>
      <c r="P107" s="546"/>
      <c r="Q107" s="546"/>
      <c r="R107" s="546"/>
      <c r="S107" s="546"/>
      <c r="T107" s="546"/>
      <c r="U107" s="546"/>
      <c r="V107" s="546"/>
      <c r="W107" s="546"/>
      <c r="X107" s="546"/>
      <c r="Y107" s="546"/>
      <c r="Z107" s="547"/>
    </row>
    <row r="108" spans="2:26" s="5" customFormat="1" ht="18" customHeight="1" outlineLevel="1">
      <c r="B108" s="40"/>
      <c r="C108" s="42"/>
      <c r="D108" s="46"/>
      <c r="E108" s="402"/>
      <c r="F108" s="53"/>
      <c r="G108" s="54"/>
      <c r="H108" s="89"/>
      <c r="I108" s="60"/>
      <c r="J108" s="65"/>
      <c r="K108" s="512" t="s">
        <v>111</v>
      </c>
      <c r="L108" s="497"/>
      <c r="M108" s="499">
        <f>SUM(M91:M107)+SUM(K91:K107)</f>
        <v>0</v>
      </c>
      <c r="N108" s="546"/>
      <c r="O108" s="546"/>
      <c r="P108" s="546"/>
      <c r="Q108" s="546"/>
      <c r="R108" s="546"/>
      <c r="S108" s="546"/>
      <c r="T108" s="546"/>
      <c r="U108" s="546"/>
      <c r="V108" s="546"/>
      <c r="W108" s="546"/>
      <c r="X108" s="546"/>
      <c r="Y108" s="546"/>
      <c r="Z108" s="547"/>
    </row>
    <row r="109" spans="2:26" s="5" customFormat="1" ht="18" customHeight="1">
      <c r="B109" s="173">
        <v>4.2</v>
      </c>
      <c r="C109" s="208" t="s">
        <v>135</v>
      </c>
      <c r="D109" s="177"/>
      <c r="E109" s="390" t="s">
        <v>29</v>
      </c>
      <c r="F109" s="374" t="s">
        <v>78</v>
      </c>
      <c r="G109" s="374" t="s">
        <v>102</v>
      </c>
      <c r="H109" s="375"/>
      <c r="I109" s="376"/>
      <c r="J109" s="377"/>
      <c r="K109" s="494" t="s">
        <v>59</v>
      </c>
      <c r="L109" s="495"/>
      <c r="M109" s="494" t="s">
        <v>60</v>
      </c>
      <c r="N109" s="174"/>
      <c r="O109" s="197"/>
      <c r="P109" s="197"/>
      <c r="Q109" s="197"/>
      <c r="R109" s="197"/>
      <c r="S109" s="197"/>
      <c r="T109" s="197"/>
      <c r="U109" s="197"/>
      <c r="V109" s="197"/>
      <c r="W109" s="197"/>
      <c r="X109" s="197"/>
      <c r="Y109" s="174"/>
      <c r="Z109" s="176"/>
    </row>
    <row r="110" spans="2:26" s="5" customFormat="1" ht="18" hidden="1" customHeight="1" outlineLevel="1">
      <c r="B110" s="36"/>
      <c r="C110" s="37" t="s">
        <v>20</v>
      </c>
      <c r="D110" s="44" t="s">
        <v>136</v>
      </c>
      <c r="E110" s="401"/>
      <c r="F110" s="133" t="s">
        <v>104</v>
      </c>
      <c r="G110" s="124">
        <v>100</v>
      </c>
      <c r="H110" s="112" t="s">
        <v>107</v>
      </c>
      <c r="I110" s="101"/>
      <c r="J110" s="102"/>
      <c r="K110" s="496">
        <f>E110*G110</f>
        <v>0</v>
      </c>
      <c r="L110" s="497"/>
      <c r="M110" s="498"/>
      <c r="N110" s="535"/>
      <c r="O110" s="535"/>
      <c r="P110" s="535"/>
      <c r="Q110" s="535"/>
      <c r="R110" s="535"/>
      <c r="S110" s="535"/>
      <c r="T110" s="535"/>
      <c r="U110" s="535"/>
      <c r="V110" s="535"/>
      <c r="W110" s="535"/>
      <c r="X110" s="535"/>
      <c r="Y110" s="535"/>
      <c r="Z110" s="536"/>
    </row>
    <row r="111" spans="2:26" s="5" customFormat="1" ht="18" hidden="1" customHeight="1" outlineLevel="1">
      <c r="B111" s="38"/>
      <c r="C111" s="39" t="s">
        <v>23</v>
      </c>
      <c r="D111" s="45" t="s">
        <v>137</v>
      </c>
      <c r="E111" s="421"/>
      <c r="F111" s="419" t="s">
        <v>104</v>
      </c>
      <c r="G111" s="134">
        <v>220</v>
      </c>
      <c r="H111" s="591" t="s">
        <v>138</v>
      </c>
      <c r="I111" s="592"/>
      <c r="J111" s="592"/>
      <c r="K111" s="496">
        <f>E111*G111</f>
        <v>0</v>
      </c>
      <c r="L111" s="497"/>
      <c r="M111" s="498"/>
      <c r="N111" s="537"/>
      <c r="O111" s="537"/>
      <c r="P111" s="537"/>
      <c r="Q111" s="537"/>
      <c r="R111" s="537"/>
      <c r="S111" s="537"/>
      <c r="T111" s="537"/>
      <c r="U111" s="537"/>
      <c r="V111" s="537"/>
      <c r="W111" s="537"/>
      <c r="X111" s="537"/>
      <c r="Y111" s="537"/>
      <c r="Z111" s="538"/>
    </row>
    <row r="112" spans="2:26" s="5" customFormat="1" ht="18" hidden="1" customHeight="1" outlineLevel="1" thickBot="1">
      <c r="B112" s="38"/>
      <c r="C112" s="39" t="s">
        <v>39</v>
      </c>
      <c r="D112" s="45" t="s">
        <v>139</v>
      </c>
      <c r="E112" s="399"/>
      <c r="F112" s="420" t="s">
        <v>140</v>
      </c>
      <c r="G112" s="74">
        <v>350</v>
      </c>
      <c r="H112" s="78"/>
      <c r="I112" s="59"/>
      <c r="J112" s="78"/>
      <c r="K112" s="496">
        <f>E112*G112</f>
        <v>0</v>
      </c>
      <c r="L112" s="497"/>
      <c r="M112" s="498"/>
      <c r="N112" s="537"/>
      <c r="O112" s="537"/>
      <c r="P112" s="537"/>
      <c r="Q112" s="537"/>
      <c r="R112" s="537"/>
      <c r="S112" s="537"/>
      <c r="T112" s="537"/>
      <c r="U112" s="537"/>
      <c r="V112" s="537"/>
      <c r="W112" s="537"/>
      <c r="X112" s="537"/>
      <c r="Y112" s="537"/>
      <c r="Z112" s="538"/>
    </row>
    <row r="113" spans="2:42" s="5" customFormat="1" ht="18" hidden="1" customHeight="1" outlineLevel="1">
      <c r="B113" s="40"/>
      <c r="C113" s="41"/>
      <c r="D113" s="46"/>
      <c r="E113" s="402"/>
      <c r="F113" s="53"/>
      <c r="G113" s="53"/>
      <c r="H113" s="65"/>
      <c r="I113" s="60"/>
      <c r="J113" s="65"/>
      <c r="K113" s="512" t="s">
        <v>111</v>
      </c>
      <c r="L113" s="497"/>
      <c r="M113" s="499">
        <f>SUM(K110:M112)</f>
        <v>0</v>
      </c>
      <c r="N113" s="537"/>
      <c r="O113" s="537"/>
      <c r="P113" s="537"/>
      <c r="Q113" s="537"/>
      <c r="R113" s="537"/>
      <c r="S113" s="537"/>
      <c r="T113" s="537"/>
      <c r="U113" s="537"/>
      <c r="V113" s="537"/>
      <c r="W113" s="537"/>
      <c r="X113" s="537"/>
      <c r="Y113" s="537"/>
      <c r="Z113" s="538"/>
    </row>
    <row r="114" spans="2:42" s="5" customFormat="1" ht="18" customHeight="1" collapsed="1">
      <c r="B114" s="173">
        <v>4.3</v>
      </c>
      <c r="C114" s="585" t="s">
        <v>141</v>
      </c>
      <c r="D114" s="587"/>
      <c r="E114" s="390" t="s">
        <v>29</v>
      </c>
      <c r="F114" s="374" t="s">
        <v>78</v>
      </c>
      <c r="G114" s="374" t="s">
        <v>102</v>
      </c>
      <c r="H114" s="428" t="s">
        <v>27</v>
      </c>
      <c r="I114" s="429" t="s">
        <v>28</v>
      </c>
      <c r="J114" s="377" t="s">
        <v>142</v>
      </c>
      <c r="K114" s="494" t="s">
        <v>59</v>
      </c>
      <c r="L114" s="495"/>
      <c r="M114" s="494" t="s">
        <v>60</v>
      </c>
      <c r="N114" s="174"/>
      <c r="O114" s="197"/>
      <c r="P114" s="197"/>
      <c r="Q114" s="197"/>
      <c r="R114" s="197"/>
      <c r="S114" s="197"/>
      <c r="T114" s="197"/>
      <c r="U114" s="197"/>
      <c r="V114" s="197"/>
      <c r="W114" s="197"/>
      <c r="X114" s="197"/>
      <c r="Y114" s="174"/>
      <c r="Z114" s="176"/>
    </row>
    <row r="115" spans="2:42" s="5" customFormat="1" ht="18" hidden="1" customHeight="1" outlineLevel="1" thickBot="1">
      <c r="B115" s="38"/>
      <c r="C115" s="39" t="s">
        <v>20</v>
      </c>
      <c r="D115" s="45" t="s">
        <v>143</v>
      </c>
      <c r="E115" s="391">
        <f>H115*I115/10000</f>
        <v>0</v>
      </c>
      <c r="F115" s="107" t="s">
        <v>144</v>
      </c>
      <c r="G115" s="71">
        <v>1500</v>
      </c>
      <c r="H115" s="430"/>
      <c r="I115" s="431"/>
      <c r="J115" s="102"/>
      <c r="K115" s="496">
        <f>IF(E115*G115&gt;500,E115*G115,IF(E115&gt;0,500,0))</f>
        <v>0</v>
      </c>
      <c r="L115" s="497"/>
      <c r="M115" s="498"/>
      <c r="N115" s="535"/>
      <c r="O115" s="535"/>
      <c r="P115" s="535"/>
      <c r="Q115" s="535"/>
      <c r="R115" s="535"/>
      <c r="S115" s="535"/>
      <c r="T115" s="535"/>
      <c r="U115" s="535"/>
      <c r="V115" s="535"/>
      <c r="W115" s="535"/>
      <c r="X115" s="535"/>
      <c r="Y115" s="535"/>
      <c r="Z115" s="536"/>
    </row>
    <row r="116" spans="2:42" s="5" customFormat="1" ht="18" hidden="1" customHeight="1" outlineLevel="1">
      <c r="B116" s="38"/>
      <c r="C116" s="39" t="s">
        <v>23</v>
      </c>
      <c r="D116" s="45" t="s">
        <v>145</v>
      </c>
      <c r="E116" s="392">
        <f>H116*I116*J116</f>
        <v>0</v>
      </c>
      <c r="F116" s="107" t="s">
        <v>140</v>
      </c>
      <c r="G116" s="91">
        <v>7</v>
      </c>
      <c r="H116" s="432"/>
      <c r="I116" s="433"/>
      <c r="J116" s="430"/>
      <c r="K116" s="496">
        <f>IF(E116*G116&gt;306,E116*G116,IF(E116&gt;0,306,0))</f>
        <v>0</v>
      </c>
      <c r="L116" s="497"/>
      <c r="M116" s="498"/>
      <c r="N116" s="537"/>
      <c r="O116" s="537"/>
      <c r="P116" s="537"/>
      <c r="Q116" s="537"/>
      <c r="R116" s="537"/>
      <c r="S116" s="537"/>
      <c r="T116" s="537"/>
      <c r="U116" s="537"/>
      <c r="V116" s="537"/>
      <c r="W116" s="537"/>
      <c r="X116" s="537"/>
      <c r="Y116" s="537"/>
      <c r="Z116" s="538"/>
    </row>
    <row r="117" spans="2:42" s="5" customFormat="1" ht="18" hidden="1" customHeight="1" outlineLevel="1" thickBot="1">
      <c r="B117" s="38"/>
      <c r="C117" s="39" t="s">
        <v>39</v>
      </c>
      <c r="D117" s="45" t="s">
        <v>146</v>
      </c>
      <c r="E117" s="392">
        <f>H117*I117*J117</f>
        <v>0</v>
      </c>
      <c r="F117" s="107" t="s">
        <v>140</v>
      </c>
      <c r="G117" s="91">
        <v>1.5</v>
      </c>
      <c r="H117" s="434"/>
      <c r="I117" s="435"/>
      <c r="J117" s="434"/>
      <c r="K117" s="496">
        <f>E117*G117</f>
        <v>0</v>
      </c>
      <c r="L117" s="497"/>
      <c r="M117" s="498"/>
      <c r="N117" s="537"/>
      <c r="O117" s="537"/>
      <c r="P117" s="537"/>
      <c r="Q117" s="537"/>
      <c r="R117" s="537"/>
      <c r="S117" s="537"/>
      <c r="T117" s="537"/>
      <c r="U117" s="537"/>
      <c r="V117" s="537"/>
      <c r="W117" s="537"/>
      <c r="X117" s="537"/>
      <c r="Y117" s="537"/>
      <c r="Z117" s="538"/>
    </row>
    <row r="118" spans="2:42" s="5" customFormat="1" ht="18" hidden="1" customHeight="1" outlineLevel="1">
      <c r="B118" s="38"/>
      <c r="C118" s="39" t="s">
        <v>109</v>
      </c>
      <c r="D118" s="45" t="s">
        <v>147</v>
      </c>
      <c r="E118" s="392"/>
      <c r="F118" s="107" t="s">
        <v>148</v>
      </c>
      <c r="G118" s="59">
        <v>4000</v>
      </c>
      <c r="H118" s="87"/>
      <c r="I118" s="82"/>
      <c r="J118" s="87"/>
      <c r="K118" s="496">
        <f>E118*G118</f>
        <v>0</v>
      </c>
      <c r="L118" s="497"/>
      <c r="M118" s="498"/>
      <c r="N118" s="537"/>
      <c r="O118" s="537"/>
      <c r="P118" s="537"/>
      <c r="Q118" s="537"/>
      <c r="R118" s="537"/>
      <c r="S118" s="537"/>
      <c r="T118" s="537"/>
      <c r="U118" s="537"/>
      <c r="V118" s="537"/>
      <c r="W118" s="537"/>
      <c r="X118" s="537"/>
      <c r="Y118" s="537"/>
      <c r="Z118" s="538"/>
    </row>
    <row r="119" spans="2:42" s="5" customFormat="1" ht="18" hidden="1" customHeight="1" outlineLevel="1" thickBot="1">
      <c r="B119" s="38"/>
      <c r="C119" s="39" t="s">
        <v>112</v>
      </c>
      <c r="D119" s="45" t="s">
        <v>149</v>
      </c>
      <c r="E119" s="399"/>
      <c r="F119" s="107" t="s">
        <v>150</v>
      </c>
      <c r="G119" s="59">
        <v>25</v>
      </c>
      <c r="H119" s="78"/>
      <c r="I119" s="59"/>
      <c r="J119" s="78"/>
      <c r="K119" s="496">
        <f>E119*G119</f>
        <v>0</v>
      </c>
      <c r="L119" s="497"/>
      <c r="M119" s="498"/>
      <c r="N119" s="537"/>
      <c r="O119" s="537"/>
      <c r="P119" s="537"/>
      <c r="Q119" s="537"/>
      <c r="R119" s="537"/>
      <c r="S119" s="537"/>
      <c r="T119" s="537"/>
      <c r="U119" s="537"/>
      <c r="V119" s="537"/>
      <c r="W119" s="537"/>
      <c r="X119" s="537"/>
      <c r="Y119" s="537"/>
      <c r="Z119" s="538"/>
    </row>
    <row r="120" spans="2:42" s="5" customFormat="1" ht="18" hidden="1" customHeight="1" outlineLevel="1">
      <c r="B120" s="38"/>
      <c r="C120" s="39" t="s">
        <v>114</v>
      </c>
      <c r="D120" s="45" t="s">
        <v>151</v>
      </c>
      <c r="E120" s="422" t="s">
        <v>69</v>
      </c>
      <c r="F120" s="389" t="s">
        <v>69</v>
      </c>
      <c r="G120" s="127" t="s">
        <v>69</v>
      </c>
      <c r="H120" s="148" t="s">
        <v>116</v>
      </c>
      <c r="I120" s="59"/>
      <c r="J120" s="78"/>
      <c r="K120" s="512" t="s">
        <v>69</v>
      </c>
      <c r="L120" s="497"/>
      <c r="M120" s="498"/>
      <c r="N120" s="537"/>
      <c r="O120" s="537"/>
      <c r="P120" s="537"/>
      <c r="Q120" s="537"/>
      <c r="R120" s="537"/>
      <c r="S120" s="537"/>
      <c r="T120" s="537"/>
      <c r="U120" s="537"/>
      <c r="V120" s="537"/>
      <c r="W120" s="537"/>
      <c r="X120" s="537"/>
      <c r="Y120" s="537"/>
      <c r="Z120" s="538"/>
    </row>
    <row r="121" spans="2:42" s="5" customFormat="1" ht="18" hidden="1" customHeight="1" outlineLevel="1" thickBot="1">
      <c r="B121" s="38"/>
      <c r="C121" s="39" t="s">
        <v>117</v>
      </c>
      <c r="D121" s="45" t="s">
        <v>152</v>
      </c>
      <c r="E121" s="393" t="s">
        <v>69</v>
      </c>
      <c r="F121" s="389" t="s">
        <v>69</v>
      </c>
      <c r="G121" s="127" t="s">
        <v>69</v>
      </c>
      <c r="H121" s="202" t="s">
        <v>116</v>
      </c>
      <c r="I121" s="59"/>
      <c r="J121" s="78"/>
      <c r="K121" s="512" t="s">
        <v>69</v>
      </c>
      <c r="L121" s="497"/>
      <c r="M121" s="498"/>
      <c r="N121" s="537"/>
      <c r="O121" s="537"/>
      <c r="P121" s="537"/>
      <c r="Q121" s="537"/>
      <c r="R121" s="537"/>
      <c r="S121" s="537"/>
      <c r="T121" s="537"/>
      <c r="U121" s="537"/>
      <c r="V121" s="537"/>
      <c r="W121" s="537"/>
      <c r="X121" s="537"/>
      <c r="Y121" s="537"/>
      <c r="Z121" s="538"/>
    </row>
    <row r="122" spans="2:42" s="5" customFormat="1" ht="18" hidden="1" customHeight="1" outlineLevel="1">
      <c r="B122" s="97"/>
      <c r="C122" s="10"/>
      <c r="D122" s="4"/>
      <c r="E122" s="98"/>
      <c r="F122" s="98"/>
      <c r="G122" s="99"/>
      <c r="H122" s="10"/>
      <c r="I122" s="99"/>
      <c r="J122" s="10"/>
      <c r="K122" s="512" t="s">
        <v>111</v>
      </c>
      <c r="L122" s="497"/>
      <c r="M122" s="512">
        <f>SUM(K115:M119,M120,M121)</f>
        <v>0</v>
      </c>
      <c r="N122" s="537"/>
      <c r="O122" s="537"/>
      <c r="P122" s="537"/>
      <c r="Q122" s="537"/>
      <c r="R122" s="537"/>
      <c r="S122" s="537"/>
      <c r="T122" s="537"/>
      <c r="U122" s="537"/>
      <c r="V122" s="537"/>
      <c r="W122" s="537"/>
      <c r="X122" s="537"/>
      <c r="Y122" s="537"/>
      <c r="Z122" s="538"/>
    </row>
    <row r="123" spans="2:42" s="5" customFormat="1" ht="18" customHeight="1" collapsed="1">
      <c r="B123" s="173">
        <v>4.4000000000000004</v>
      </c>
      <c r="C123" s="585" t="s">
        <v>153</v>
      </c>
      <c r="D123" s="590"/>
      <c r="E123" s="373" t="s">
        <v>29</v>
      </c>
      <c r="F123" s="374" t="s">
        <v>78</v>
      </c>
      <c r="G123" s="374" t="s">
        <v>102</v>
      </c>
      <c r="H123" s="383"/>
      <c r="I123" s="376"/>
      <c r="J123" s="377"/>
      <c r="K123" s="504" t="s">
        <v>59</v>
      </c>
      <c r="L123" s="505"/>
      <c r="M123" s="504" t="s">
        <v>60</v>
      </c>
      <c r="N123" s="174"/>
      <c r="O123" s="175"/>
      <c r="P123" s="175"/>
      <c r="Q123" s="175"/>
      <c r="R123" s="175"/>
      <c r="S123" s="175"/>
      <c r="T123" s="175"/>
      <c r="U123" s="175"/>
      <c r="V123" s="175"/>
      <c r="W123" s="175"/>
      <c r="X123" s="175"/>
      <c r="Y123" s="174"/>
      <c r="Z123" s="176"/>
    </row>
    <row r="124" spans="2:42" s="5" customFormat="1" ht="18" hidden="1" customHeight="1" outlineLevel="1" thickBot="1">
      <c r="B124" s="36"/>
      <c r="C124" s="37" t="s">
        <v>20</v>
      </c>
      <c r="D124" s="115" t="s">
        <v>154</v>
      </c>
      <c r="E124" s="424"/>
      <c r="F124" s="52"/>
      <c r="G124" s="58"/>
      <c r="H124" s="77"/>
      <c r="I124" s="58"/>
      <c r="J124" s="77"/>
      <c r="K124" s="153"/>
      <c r="L124" s="126"/>
      <c r="M124" s="126"/>
      <c r="N124" s="551"/>
      <c r="O124" s="552"/>
      <c r="P124" s="552"/>
      <c r="Q124" s="552"/>
      <c r="R124" s="552"/>
      <c r="S124" s="552"/>
      <c r="T124" s="552"/>
      <c r="U124" s="552"/>
      <c r="V124" s="552"/>
      <c r="W124" s="552"/>
      <c r="X124" s="552"/>
      <c r="Y124" s="552"/>
      <c r="Z124" s="553"/>
      <c r="AK124"/>
      <c r="AL124"/>
      <c r="AM124"/>
      <c r="AN124"/>
      <c r="AO124"/>
      <c r="AP124"/>
    </row>
    <row r="125" spans="2:42" s="5" customFormat="1" ht="18" hidden="1" customHeight="1" outlineLevel="1">
      <c r="B125" s="68"/>
      <c r="C125" s="111"/>
      <c r="D125" s="263" t="s">
        <v>155</v>
      </c>
      <c r="E125" s="391"/>
      <c r="F125" s="423" t="s">
        <v>156</v>
      </c>
      <c r="G125" s="82">
        <v>10</v>
      </c>
      <c r="H125" s="103" t="s">
        <v>157</v>
      </c>
      <c r="I125" s="82"/>
      <c r="J125" s="87"/>
      <c r="K125" s="394">
        <f>IF(AND(E125*2&lt;212,E125&gt;0),2100,E125*2*G125)</f>
        <v>0</v>
      </c>
      <c r="L125" s="218"/>
      <c r="M125" s="326"/>
      <c r="N125" s="551"/>
      <c r="O125" s="552"/>
      <c r="P125" s="552"/>
      <c r="Q125" s="552"/>
      <c r="R125" s="552"/>
      <c r="S125" s="552"/>
      <c r="T125" s="552"/>
      <c r="U125" s="552"/>
      <c r="V125" s="552"/>
      <c r="W125" s="552"/>
      <c r="X125" s="552"/>
      <c r="Y125" s="552"/>
      <c r="Z125" s="553"/>
      <c r="AK125"/>
      <c r="AL125"/>
      <c r="AM125"/>
      <c r="AN125"/>
      <c r="AO125"/>
      <c r="AP125"/>
    </row>
    <row r="126" spans="2:42" s="5" customFormat="1" ht="18" hidden="1" customHeight="1" outlineLevel="1" thickBot="1">
      <c r="B126" s="68"/>
      <c r="C126" s="111"/>
      <c r="D126" s="263" t="s">
        <v>158</v>
      </c>
      <c r="E126" s="297"/>
      <c r="F126" s="423" t="s">
        <v>156</v>
      </c>
      <c r="G126" s="125"/>
      <c r="H126" s="106" t="s">
        <v>159</v>
      </c>
      <c r="I126" s="63"/>
      <c r="J126" s="107"/>
      <c r="K126" s="397" t="s">
        <v>69</v>
      </c>
      <c r="L126" s="200"/>
      <c r="M126" s="328"/>
      <c r="N126" s="551"/>
      <c r="O126" s="552"/>
      <c r="P126" s="552"/>
      <c r="Q126" s="552"/>
      <c r="R126" s="552"/>
      <c r="S126" s="552"/>
      <c r="T126" s="552"/>
      <c r="U126" s="552"/>
      <c r="V126" s="552"/>
      <c r="W126" s="552"/>
      <c r="X126" s="552"/>
      <c r="Y126" s="552"/>
      <c r="Z126" s="553"/>
      <c r="AK126"/>
      <c r="AL126"/>
      <c r="AM126"/>
      <c r="AN126"/>
      <c r="AO126"/>
      <c r="AP126"/>
    </row>
    <row r="127" spans="2:42" s="5" customFormat="1" ht="18" hidden="1" customHeight="1" outlineLevel="1" thickBot="1">
      <c r="B127" s="68"/>
      <c r="C127" s="111" t="s">
        <v>23</v>
      </c>
      <c r="D127" s="115" t="s">
        <v>160</v>
      </c>
      <c r="E127" s="142"/>
      <c r="F127" s="104"/>
      <c r="H127" s="108"/>
      <c r="I127" s="59"/>
      <c r="J127" s="13"/>
      <c r="K127" s="153"/>
      <c r="L127" s="126"/>
      <c r="M127" s="126"/>
      <c r="N127" s="551"/>
      <c r="O127" s="552"/>
      <c r="P127" s="552"/>
      <c r="Q127" s="552"/>
      <c r="R127" s="552"/>
      <c r="S127" s="552"/>
      <c r="T127" s="552"/>
      <c r="U127" s="552"/>
      <c r="V127" s="552"/>
      <c r="W127" s="552"/>
      <c r="X127" s="552"/>
      <c r="Y127" s="552"/>
      <c r="Z127" s="553"/>
      <c r="AK127"/>
      <c r="AL127"/>
      <c r="AM127"/>
      <c r="AN127"/>
      <c r="AO127"/>
      <c r="AP127"/>
    </row>
    <row r="128" spans="2:42" s="5" customFormat="1" ht="18" hidden="1" customHeight="1" outlineLevel="1">
      <c r="B128" s="68"/>
      <c r="C128" s="111"/>
      <c r="D128" s="263" t="s">
        <v>161</v>
      </c>
      <c r="E128" s="391"/>
      <c r="F128" s="423" t="s">
        <v>156</v>
      </c>
      <c r="G128" s="91">
        <v>1.05</v>
      </c>
      <c r="H128" s="109"/>
      <c r="I128" s="82"/>
      <c r="J128" s="86"/>
      <c r="K128" s="394">
        <f>G128*E128*2</f>
        <v>0</v>
      </c>
      <c r="L128" s="126"/>
      <c r="M128" s="326"/>
      <c r="N128" s="551"/>
      <c r="O128" s="552"/>
      <c r="P128" s="552"/>
      <c r="Q128" s="552"/>
      <c r="R128" s="552"/>
      <c r="S128" s="552"/>
      <c r="T128" s="552"/>
      <c r="U128" s="552"/>
      <c r="V128" s="552"/>
      <c r="W128" s="552"/>
      <c r="X128" s="552"/>
      <c r="Y128" s="552"/>
      <c r="Z128" s="553"/>
      <c r="AK128"/>
      <c r="AL128"/>
      <c r="AM128"/>
      <c r="AN128"/>
      <c r="AO128"/>
      <c r="AP128"/>
    </row>
    <row r="129" spans="2:42" s="5" customFormat="1" ht="18" hidden="1" customHeight="1" outlineLevel="1">
      <c r="B129" s="68"/>
      <c r="C129" s="111"/>
      <c r="D129" s="263" t="s">
        <v>162</v>
      </c>
      <c r="E129" s="426"/>
      <c r="F129" s="107" t="s">
        <v>163</v>
      </c>
      <c r="G129" s="71">
        <v>200</v>
      </c>
      <c r="H129" s="109"/>
      <c r="I129" s="82"/>
      <c r="J129" s="86"/>
      <c r="K129" s="395">
        <f>G129*E129</f>
        <v>0</v>
      </c>
      <c r="L129" s="126"/>
      <c r="M129" s="327"/>
      <c r="N129" s="551"/>
      <c r="O129" s="552"/>
      <c r="P129" s="552"/>
      <c r="Q129" s="552"/>
      <c r="R129" s="552"/>
      <c r="S129" s="552"/>
      <c r="T129" s="552"/>
      <c r="U129" s="552"/>
      <c r="V129" s="552"/>
      <c r="W129" s="552"/>
      <c r="X129" s="552"/>
      <c r="Y129" s="552"/>
      <c r="Z129" s="553"/>
      <c r="AK129"/>
      <c r="AL129"/>
      <c r="AM129"/>
      <c r="AN129"/>
      <c r="AO129"/>
      <c r="AP129"/>
    </row>
    <row r="130" spans="2:42" s="5" customFormat="1" ht="18" hidden="1" customHeight="1" outlineLevel="1" thickBot="1">
      <c r="B130" s="68"/>
      <c r="C130" s="111"/>
      <c r="D130" s="263" t="s">
        <v>164</v>
      </c>
      <c r="E130" s="297"/>
      <c r="F130" s="425" t="s">
        <v>163</v>
      </c>
      <c r="G130" s="59">
        <v>50</v>
      </c>
      <c r="H130" s="110"/>
      <c r="I130" s="82"/>
      <c r="J130" s="87"/>
      <c r="K130" s="397">
        <f>G130*E130</f>
        <v>0</v>
      </c>
      <c r="L130" s="126"/>
      <c r="M130" s="328"/>
      <c r="N130" s="551"/>
      <c r="O130" s="552"/>
      <c r="P130" s="552"/>
      <c r="Q130" s="552"/>
      <c r="R130" s="552"/>
      <c r="S130" s="552"/>
      <c r="T130" s="552"/>
      <c r="U130" s="552"/>
      <c r="V130" s="552"/>
      <c r="W130" s="552"/>
      <c r="X130" s="552"/>
      <c r="Y130" s="552"/>
      <c r="Z130" s="553"/>
      <c r="AK130"/>
      <c r="AL130"/>
      <c r="AM130"/>
      <c r="AN130"/>
      <c r="AO130"/>
      <c r="AP130"/>
    </row>
    <row r="131" spans="2:42" s="5" customFormat="1" ht="18" hidden="1" customHeight="1" outlineLevel="1" thickBot="1">
      <c r="B131" s="68"/>
      <c r="C131" s="69" t="s">
        <v>39</v>
      </c>
      <c r="D131" s="115" t="s">
        <v>165</v>
      </c>
      <c r="E131" s="98"/>
      <c r="F131" s="86"/>
      <c r="G131" s="82"/>
      <c r="H131" s="87"/>
      <c r="I131" s="82"/>
      <c r="J131" s="87"/>
      <c r="K131" s="190"/>
      <c r="L131" s="126"/>
      <c r="M131" s="126"/>
      <c r="N131" s="551"/>
      <c r="O131" s="552"/>
      <c r="P131" s="552"/>
      <c r="Q131" s="552"/>
      <c r="R131" s="552"/>
      <c r="S131" s="552"/>
      <c r="T131" s="552"/>
      <c r="U131" s="552"/>
      <c r="V131" s="552"/>
      <c r="W131" s="552"/>
      <c r="X131" s="552"/>
      <c r="Y131" s="552"/>
      <c r="Z131" s="553"/>
      <c r="AK131"/>
      <c r="AL131"/>
      <c r="AM131"/>
      <c r="AN131"/>
      <c r="AO131"/>
      <c r="AP131"/>
    </row>
    <row r="132" spans="2:42" s="5" customFormat="1" ht="18" hidden="1" customHeight="1" outlineLevel="1">
      <c r="B132" s="68"/>
      <c r="C132" s="69"/>
      <c r="D132" s="5" t="s">
        <v>166</v>
      </c>
      <c r="E132" s="391"/>
      <c r="F132" s="107" t="s">
        <v>167</v>
      </c>
      <c r="G132" s="82">
        <v>500</v>
      </c>
      <c r="H132" s="87"/>
      <c r="I132" s="82"/>
      <c r="J132" s="87"/>
      <c r="K132" s="394">
        <f>E132*G132</f>
        <v>0</v>
      </c>
      <c r="L132" s="126"/>
      <c r="M132" s="326"/>
      <c r="N132" s="551"/>
      <c r="O132" s="552"/>
      <c r="P132" s="552"/>
      <c r="Q132" s="552"/>
      <c r="R132" s="552"/>
      <c r="S132" s="552"/>
      <c r="T132" s="552"/>
      <c r="U132" s="552"/>
      <c r="V132" s="552"/>
      <c r="W132" s="552"/>
      <c r="X132" s="552"/>
      <c r="Y132" s="552"/>
      <c r="Z132" s="553"/>
      <c r="AI132"/>
      <c r="AJ132"/>
      <c r="AK132"/>
      <c r="AL132"/>
      <c r="AM132"/>
      <c r="AN132"/>
      <c r="AO132"/>
      <c r="AP132"/>
    </row>
    <row r="133" spans="2:42" s="5" customFormat="1" ht="18" hidden="1" customHeight="1" outlineLevel="1">
      <c r="B133" s="68"/>
      <c r="C133" s="69"/>
      <c r="D133" s="5" t="s">
        <v>168</v>
      </c>
      <c r="E133" s="426"/>
      <c r="F133" s="107" t="s">
        <v>167</v>
      </c>
      <c r="G133" s="105">
        <v>350</v>
      </c>
      <c r="H133" s="87"/>
      <c r="I133" s="82"/>
      <c r="J133" s="87"/>
      <c r="K133" s="395">
        <f>E133*G133</f>
        <v>0</v>
      </c>
      <c r="L133" s="126"/>
      <c r="M133" s="327"/>
      <c r="N133" s="551"/>
      <c r="O133" s="552"/>
      <c r="P133" s="552"/>
      <c r="Q133" s="552"/>
      <c r="R133" s="552"/>
      <c r="S133" s="552"/>
      <c r="T133" s="552"/>
      <c r="U133" s="552"/>
      <c r="V133" s="552"/>
      <c r="W133" s="552"/>
      <c r="X133" s="552"/>
      <c r="Y133" s="552"/>
      <c r="Z133" s="553"/>
      <c r="AI133"/>
      <c r="AJ133"/>
      <c r="AK133"/>
      <c r="AL133"/>
      <c r="AM133"/>
      <c r="AN133"/>
      <c r="AO133"/>
      <c r="AP133"/>
    </row>
    <row r="134" spans="2:42" s="5" customFormat="1" ht="18" hidden="1" customHeight="1" outlineLevel="1" thickBot="1">
      <c r="B134" s="68"/>
      <c r="C134" s="69"/>
      <c r="D134" s="5" t="s">
        <v>169</v>
      </c>
      <c r="E134" s="297"/>
      <c r="F134" s="107" t="s">
        <v>167</v>
      </c>
      <c r="G134" s="105">
        <v>100</v>
      </c>
      <c r="H134" s="87"/>
      <c r="I134" s="82"/>
      <c r="J134" s="87"/>
      <c r="K134" s="397">
        <f t="shared" ref="K134:K148" si="4">E134*G134</f>
        <v>0</v>
      </c>
      <c r="L134" s="126"/>
      <c r="M134" s="328"/>
      <c r="N134" s="551"/>
      <c r="O134" s="552"/>
      <c r="P134" s="552"/>
      <c r="Q134" s="552"/>
      <c r="R134" s="552"/>
      <c r="S134" s="552"/>
      <c r="T134" s="552"/>
      <c r="U134" s="552"/>
      <c r="V134" s="552"/>
      <c r="W134" s="552"/>
      <c r="X134" s="552"/>
      <c r="Y134" s="552"/>
      <c r="Z134" s="553"/>
      <c r="AI134"/>
      <c r="AJ134"/>
      <c r="AK134"/>
      <c r="AL134"/>
      <c r="AM134"/>
      <c r="AN134"/>
      <c r="AO134"/>
      <c r="AP134"/>
    </row>
    <row r="135" spans="2:42" s="5" customFormat="1" ht="18" hidden="1" customHeight="1" outlineLevel="1" thickBot="1">
      <c r="B135" s="68"/>
      <c r="C135" s="69" t="s">
        <v>109</v>
      </c>
      <c r="D135" s="115" t="s">
        <v>170</v>
      </c>
      <c r="E135" s="98"/>
      <c r="F135" s="13"/>
      <c r="G135" s="105"/>
      <c r="H135" s="87"/>
      <c r="I135" s="82"/>
      <c r="J135" s="87"/>
      <c r="K135" s="404"/>
      <c r="L135" s="126"/>
      <c r="M135" s="126"/>
      <c r="N135" s="551"/>
      <c r="O135" s="552"/>
      <c r="P135" s="552"/>
      <c r="Q135" s="552"/>
      <c r="R135" s="552"/>
      <c r="S135" s="552"/>
      <c r="T135" s="552"/>
      <c r="U135" s="552"/>
      <c r="V135" s="552"/>
      <c r="W135" s="552"/>
      <c r="X135" s="552"/>
      <c r="Y135" s="552"/>
      <c r="Z135" s="553"/>
      <c r="AI135"/>
      <c r="AJ135"/>
      <c r="AK135"/>
      <c r="AL135"/>
      <c r="AM135"/>
      <c r="AN135"/>
      <c r="AO135"/>
      <c r="AP135"/>
    </row>
    <row r="136" spans="2:42" s="5" customFormat="1" ht="18" hidden="1" customHeight="1" outlineLevel="1">
      <c r="B136" s="68"/>
      <c r="C136" s="69"/>
      <c r="D136" s="5" t="s">
        <v>171</v>
      </c>
      <c r="E136" s="391"/>
      <c r="F136" s="107" t="s">
        <v>172</v>
      </c>
      <c r="G136" s="105">
        <v>500</v>
      </c>
      <c r="H136" s="87"/>
      <c r="I136" s="82"/>
      <c r="J136" s="87"/>
      <c r="K136" s="322">
        <f t="shared" si="4"/>
        <v>0</v>
      </c>
      <c r="L136" s="405"/>
      <c r="M136" s="326"/>
      <c r="N136" s="551"/>
      <c r="O136" s="552"/>
      <c r="P136" s="552"/>
      <c r="Q136" s="552"/>
      <c r="R136" s="552"/>
      <c r="S136" s="552"/>
      <c r="T136" s="552"/>
      <c r="U136" s="552"/>
      <c r="V136" s="552"/>
      <c r="W136" s="552"/>
      <c r="X136" s="552"/>
      <c r="Y136" s="552"/>
      <c r="Z136" s="553"/>
      <c r="AI136"/>
      <c r="AJ136"/>
      <c r="AK136"/>
      <c r="AL136"/>
      <c r="AM136"/>
      <c r="AN136"/>
      <c r="AO136"/>
      <c r="AP136"/>
    </row>
    <row r="137" spans="2:42" s="5" customFormat="1" ht="18" hidden="1" customHeight="1" outlineLevel="1">
      <c r="B137" s="68"/>
      <c r="C137" s="69"/>
      <c r="D137" s="5" t="s">
        <v>173</v>
      </c>
      <c r="E137" s="426"/>
      <c r="F137" s="107" t="s">
        <v>172</v>
      </c>
      <c r="G137" s="105">
        <v>1000</v>
      </c>
      <c r="H137" s="87"/>
      <c r="I137" s="82"/>
      <c r="J137" s="87"/>
      <c r="K137" s="323">
        <f t="shared" si="4"/>
        <v>0</v>
      </c>
      <c r="L137" s="406"/>
      <c r="M137" s="327"/>
      <c r="N137" s="551"/>
      <c r="O137" s="552"/>
      <c r="P137" s="552"/>
      <c r="Q137" s="552"/>
      <c r="R137" s="552"/>
      <c r="S137" s="552"/>
      <c r="T137" s="552"/>
      <c r="U137" s="552"/>
      <c r="V137" s="552"/>
      <c r="W137" s="552"/>
      <c r="X137" s="552"/>
      <c r="Y137" s="552"/>
      <c r="Z137" s="553"/>
      <c r="AI137"/>
      <c r="AJ137"/>
      <c r="AK137"/>
      <c r="AL137"/>
      <c r="AM137"/>
      <c r="AN137"/>
      <c r="AO137"/>
      <c r="AP137"/>
    </row>
    <row r="138" spans="2:42" s="5" customFormat="1" ht="18" hidden="1" customHeight="1" outlineLevel="1">
      <c r="B138" s="38"/>
      <c r="C138" s="39"/>
      <c r="D138" s="45" t="s">
        <v>174</v>
      </c>
      <c r="E138" s="392"/>
      <c r="F138" s="107" t="s">
        <v>148</v>
      </c>
      <c r="G138" s="105">
        <f>((E126/120)*2*2100)+4000</f>
        <v>4000</v>
      </c>
      <c r="H138" s="103" t="s">
        <v>175</v>
      </c>
      <c r="I138" s="59"/>
      <c r="J138" s="78"/>
      <c r="K138" s="323">
        <f>E138*G138</f>
        <v>0</v>
      </c>
      <c r="L138" s="406"/>
      <c r="M138" s="327"/>
      <c r="N138" s="551"/>
      <c r="O138" s="552"/>
      <c r="P138" s="552"/>
      <c r="Q138" s="552"/>
      <c r="R138" s="552"/>
      <c r="S138" s="552"/>
      <c r="T138" s="552"/>
      <c r="U138" s="552"/>
      <c r="V138" s="552"/>
      <c r="W138" s="552"/>
      <c r="X138" s="552"/>
      <c r="Y138" s="552"/>
      <c r="Z138" s="553"/>
    </row>
    <row r="139" spans="2:42" s="5" customFormat="1" ht="18" hidden="1" customHeight="1" outlineLevel="1">
      <c r="B139" s="68"/>
      <c r="C139" s="69"/>
      <c r="D139" s="5" t="s">
        <v>176</v>
      </c>
      <c r="E139" s="426"/>
      <c r="F139" s="107" t="s">
        <v>167</v>
      </c>
      <c r="G139" s="105">
        <v>350</v>
      </c>
      <c r="H139" s="103" t="s">
        <v>175</v>
      </c>
      <c r="I139" s="82"/>
      <c r="J139" s="87"/>
      <c r="K139" s="323">
        <f t="shared" si="4"/>
        <v>0</v>
      </c>
      <c r="L139" s="406"/>
      <c r="M139" s="327"/>
      <c r="N139" s="551"/>
      <c r="O139" s="552"/>
      <c r="P139" s="552"/>
      <c r="Q139" s="552"/>
      <c r="R139" s="552"/>
      <c r="S139" s="552"/>
      <c r="T139" s="552"/>
      <c r="U139" s="552"/>
      <c r="V139" s="552"/>
      <c r="W139" s="552"/>
      <c r="X139" s="552"/>
      <c r="Y139" s="552"/>
      <c r="Z139" s="553"/>
      <c r="AI139"/>
      <c r="AJ139"/>
      <c r="AK139"/>
      <c r="AL139"/>
      <c r="AM139"/>
      <c r="AN139"/>
      <c r="AO139"/>
      <c r="AP139"/>
    </row>
    <row r="140" spans="2:42" s="5" customFormat="1" ht="18" hidden="1" customHeight="1" outlineLevel="1">
      <c r="B140" s="68"/>
      <c r="C140" s="69"/>
      <c r="D140" s="5" t="s">
        <v>177</v>
      </c>
      <c r="E140" s="426"/>
      <c r="F140" s="107" t="s">
        <v>167</v>
      </c>
      <c r="G140" s="105">
        <v>875</v>
      </c>
      <c r="H140" s="103" t="s">
        <v>175</v>
      </c>
      <c r="I140" s="82"/>
      <c r="J140" s="87"/>
      <c r="K140" s="323">
        <f t="shared" si="4"/>
        <v>0</v>
      </c>
      <c r="L140" s="406"/>
      <c r="M140" s="327"/>
      <c r="N140" s="551"/>
      <c r="O140" s="552"/>
      <c r="P140" s="552"/>
      <c r="Q140" s="552"/>
      <c r="R140" s="552"/>
      <c r="S140" s="552"/>
      <c r="T140" s="552"/>
      <c r="U140" s="552"/>
      <c r="V140" s="552"/>
      <c r="W140" s="552"/>
      <c r="X140" s="552"/>
      <c r="Y140" s="552"/>
      <c r="Z140" s="553"/>
      <c r="AI140"/>
      <c r="AJ140"/>
      <c r="AK140"/>
      <c r="AL140"/>
      <c r="AM140"/>
      <c r="AN140"/>
      <c r="AO140"/>
      <c r="AP140"/>
    </row>
    <row r="141" spans="2:42" s="5" customFormat="1" ht="18" hidden="1" customHeight="1" outlineLevel="1">
      <c r="B141" s="68"/>
      <c r="C141" s="69"/>
      <c r="D141" s="5" t="s">
        <v>178</v>
      </c>
      <c r="E141" s="426"/>
      <c r="F141" s="107" t="s">
        <v>167</v>
      </c>
      <c r="G141" s="82">
        <v>100</v>
      </c>
      <c r="H141" s="87"/>
      <c r="I141" s="82"/>
      <c r="J141" s="87"/>
      <c r="K141" s="323">
        <f t="shared" si="4"/>
        <v>0</v>
      </c>
      <c r="L141" s="406"/>
      <c r="M141" s="327"/>
      <c r="N141" s="551"/>
      <c r="O141" s="552"/>
      <c r="P141" s="552"/>
      <c r="Q141" s="552"/>
      <c r="R141" s="552"/>
      <c r="S141" s="552"/>
      <c r="T141" s="552"/>
      <c r="U141" s="552"/>
      <c r="V141" s="552"/>
      <c r="W141" s="552"/>
      <c r="X141" s="552"/>
      <c r="Y141" s="552"/>
      <c r="Z141" s="553"/>
      <c r="AI141"/>
      <c r="AJ141"/>
      <c r="AK141"/>
      <c r="AL141"/>
      <c r="AM141"/>
      <c r="AN141"/>
      <c r="AO141"/>
      <c r="AP141"/>
    </row>
    <row r="142" spans="2:42" s="5" customFormat="1" ht="18" hidden="1" customHeight="1" outlineLevel="1" thickBot="1">
      <c r="B142" s="68"/>
      <c r="C142" s="69"/>
      <c r="D142" s="5" t="s">
        <v>179</v>
      </c>
      <c r="E142" s="297"/>
      <c r="F142" s="107" t="s">
        <v>167</v>
      </c>
      <c r="G142" s="105">
        <v>350</v>
      </c>
      <c r="H142" s="103" t="s">
        <v>175</v>
      </c>
      <c r="I142" s="82"/>
      <c r="J142" s="87"/>
      <c r="K142" s="324">
        <f>E142*G142</f>
        <v>0</v>
      </c>
      <c r="L142" s="407"/>
      <c r="M142" s="328"/>
      <c r="N142" s="551"/>
      <c r="O142" s="552"/>
      <c r="P142" s="552"/>
      <c r="Q142" s="552"/>
      <c r="R142" s="552"/>
      <c r="S142" s="552"/>
      <c r="T142" s="552"/>
      <c r="U142" s="552"/>
      <c r="V142" s="552"/>
      <c r="W142" s="552"/>
      <c r="X142" s="552"/>
      <c r="Y142" s="552"/>
      <c r="Z142" s="553"/>
      <c r="AI142"/>
      <c r="AJ142"/>
      <c r="AK142"/>
      <c r="AL142"/>
      <c r="AM142"/>
      <c r="AN142"/>
      <c r="AO142"/>
      <c r="AP142"/>
    </row>
    <row r="143" spans="2:42" s="5" customFormat="1" ht="18" hidden="1" customHeight="1" outlineLevel="1" thickBot="1">
      <c r="B143" s="68"/>
      <c r="C143" s="69" t="s">
        <v>112</v>
      </c>
      <c r="D143" s="115" t="s">
        <v>180</v>
      </c>
      <c r="E143" s="98"/>
      <c r="F143" s="13"/>
      <c r="G143" s="105"/>
      <c r="H143" s="87"/>
      <c r="I143" s="82"/>
      <c r="J143" s="87"/>
      <c r="K143" s="396"/>
      <c r="L143" s="126"/>
      <c r="M143" s="126"/>
      <c r="N143" s="551"/>
      <c r="O143" s="552"/>
      <c r="P143" s="552"/>
      <c r="Q143" s="552"/>
      <c r="R143" s="552"/>
      <c r="S143" s="552"/>
      <c r="T143" s="552"/>
      <c r="U143" s="552"/>
      <c r="V143" s="552"/>
      <c r="W143" s="552"/>
      <c r="X143" s="552"/>
      <c r="Y143" s="552"/>
      <c r="Z143" s="553"/>
      <c r="AI143"/>
      <c r="AJ143"/>
      <c r="AK143"/>
      <c r="AL143"/>
      <c r="AM143"/>
      <c r="AN143"/>
      <c r="AO143"/>
      <c r="AP143"/>
    </row>
    <row r="144" spans="2:42" s="5" customFormat="1" ht="18" hidden="1" customHeight="1" outlineLevel="1">
      <c r="B144" s="68"/>
      <c r="C144" s="69"/>
      <c r="D144" s="5" t="s">
        <v>181</v>
      </c>
      <c r="E144" s="391"/>
      <c r="F144" s="107" t="s">
        <v>182</v>
      </c>
      <c r="G144" s="105">
        <f>(E126/120)*2*2100/2</f>
        <v>0</v>
      </c>
      <c r="H144" s="103" t="s">
        <v>175</v>
      </c>
      <c r="I144" s="82"/>
      <c r="J144" s="87"/>
      <c r="K144" s="322">
        <f t="shared" si="4"/>
        <v>0</v>
      </c>
      <c r="L144" s="405"/>
      <c r="M144" s="326"/>
      <c r="N144" s="551"/>
      <c r="O144" s="552"/>
      <c r="P144" s="552"/>
      <c r="Q144" s="552"/>
      <c r="R144" s="552"/>
      <c r="S144" s="552"/>
      <c r="T144" s="552"/>
      <c r="U144" s="552"/>
      <c r="V144" s="552"/>
      <c r="W144" s="552"/>
      <c r="X144" s="552"/>
      <c r="Y144" s="552"/>
      <c r="Z144" s="553"/>
      <c r="AI144"/>
      <c r="AJ144"/>
      <c r="AK144"/>
      <c r="AL144"/>
      <c r="AM144"/>
      <c r="AN144"/>
      <c r="AO144"/>
      <c r="AP144"/>
    </row>
    <row r="145" spans="2:42" s="5" customFormat="1" ht="18" hidden="1" customHeight="1" outlineLevel="1" thickBot="1">
      <c r="B145" s="68"/>
      <c r="C145" s="69"/>
      <c r="D145" s="5" t="s">
        <v>183</v>
      </c>
      <c r="E145" s="297"/>
      <c r="F145" s="107" t="s">
        <v>182</v>
      </c>
      <c r="G145" s="105">
        <f>(E126/120)*2*2100/10</f>
        <v>0</v>
      </c>
      <c r="H145" s="103" t="s">
        <v>175</v>
      </c>
      <c r="I145" s="82"/>
      <c r="J145" s="87"/>
      <c r="K145" s="324">
        <f>E145*G145</f>
        <v>0</v>
      </c>
      <c r="L145" s="407"/>
      <c r="M145" s="328"/>
      <c r="N145" s="551"/>
      <c r="O145" s="552"/>
      <c r="P145" s="552"/>
      <c r="Q145" s="552"/>
      <c r="R145" s="552"/>
      <c r="S145" s="552"/>
      <c r="T145" s="552"/>
      <c r="U145" s="552"/>
      <c r="V145" s="552"/>
      <c r="W145" s="552"/>
      <c r="X145" s="552"/>
      <c r="Y145" s="552"/>
      <c r="Z145" s="553"/>
      <c r="AI145"/>
      <c r="AJ145"/>
      <c r="AK145"/>
      <c r="AL145"/>
      <c r="AM145"/>
      <c r="AN145"/>
      <c r="AO145"/>
      <c r="AP145"/>
    </row>
    <row r="146" spans="2:42" s="5" customFormat="1" ht="18" hidden="1" customHeight="1" outlineLevel="1" thickBot="1">
      <c r="B146" s="68"/>
      <c r="C146" s="69" t="s">
        <v>114</v>
      </c>
      <c r="D146" s="115" t="s">
        <v>184</v>
      </c>
      <c r="E146" s="98"/>
      <c r="F146" s="13"/>
      <c r="G146" s="105"/>
      <c r="H146" s="87"/>
      <c r="I146" s="82"/>
      <c r="J146" s="87"/>
      <c r="K146" s="153"/>
      <c r="L146" s="126"/>
      <c r="M146" s="126"/>
      <c r="N146" s="551"/>
      <c r="O146" s="552"/>
      <c r="P146" s="552"/>
      <c r="Q146" s="552"/>
      <c r="R146" s="552"/>
      <c r="S146" s="552"/>
      <c r="T146" s="552"/>
      <c r="U146" s="552"/>
      <c r="V146" s="552"/>
      <c r="W146" s="552"/>
      <c r="X146" s="552"/>
      <c r="Y146" s="552"/>
      <c r="Z146" s="553"/>
      <c r="AI146"/>
      <c r="AJ146"/>
      <c r="AK146"/>
      <c r="AL146"/>
      <c r="AM146"/>
      <c r="AN146"/>
      <c r="AO146"/>
      <c r="AP146"/>
    </row>
    <row r="147" spans="2:42" s="5" customFormat="1" ht="18" hidden="1" customHeight="1" outlineLevel="1">
      <c r="B147" s="68"/>
      <c r="C147" s="69"/>
      <c r="D147" s="5" t="s">
        <v>185</v>
      </c>
      <c r="E147" s="391"/>
      <c r="F147" s="107" t="s">
        <v>186</v>
      </c>
      <c r="G147" s="105">
        <v>250</v>
      </c>
      <c r="H147" s="87"/>
      <c r="I147" s="82"/>
      <c r="J147" s="87"/>
      <c r="K147" s="394">
        <f t="shared" si="4"/>
        <v>0</v>
      </c>
      <c r="L147" s="126"/>
      <c r="M147" s="326"/>
      <c r="N147" s="551"/>
      <c r="O147" s="552"/>
      <c r="P147" s="552"/>
      <c r="Q147" s="552"/>
      <c r="R147" s="552"/>
      <c r="S147" s="552"/>
      <c r="T147" s="552"/>
      <c r="U147" s="552"/>
      <c r="V147" s="552"/>
      <c r="W147" s="552"/>
      <c r="X147" s="552"/>
      <c r="Y147" s="552"/>
      <c r="Z147" s="553"/>
      <c r="AI147"/>
      <c r="AJ147"/>
      <c r="AK147"/>
      <c r="AL147"/>
      <c r="AM147"/>
      <c r="AN147"/>
      <c r="AO147"/>
      <c r="AP147"/>
    </row>
    <row r="148" spans="2:42" s="5" customFormat="1" ht="18" hidden="1" customHeight="1" outlineLevel="1">
      <c r="B148" s="68"/>
      <c r="C148" s="69"/>
      <c r="D148" s="5" t="s">
        <v>187</v>
      </c>
      <c r="E148" s="426"/>
      <c r="F148" s="107" t="s">
        <v>188</v>
      </c>
      <c r="G148" s="105">
        <v>500</v>
      </c>
      <c r="H148" s="87"/>
      <c r="I148" s="82"/>
      <c r="J148" s="87"/>
      <c r="K148" s="395">
        <f t="shared" si="4"/>
        <v>0</v>
      </c>
      <c r="L148" s="126"/>
      <c r="M148" s="327"/>
      <c r="N148" s="551"/>
      <c r="O148" s="552"/>
      <c r="P148" s="552"/>
      <c r="Q148" s="552"/>
      <c r="R148" s="552"/>
      <c r="S148" s="552"/>
      <c r="T148" s="552"/>
      <c r="U148" s="552"/>
      <c r="V148" s="552"/>
      <c r="W148" s="552"/>
      <c r="X148" s="552"/>
      <c r="Y148" s="552"/>
      <c r="Z148" s="553"/>
      <c r="AI148"/>
      <c r="AJ148"/>
      <c r="AK148"/>
      <c r="AL148"/>
      <c r="AM148"/>
      <c r="AN148"/>
      <c r="AO148"/>
      <c r="AP148"/>
    </row>
    <row r="149" spans="2:42" s="5" customFormat="1" ht="18" hidden="1" customHeight="1" outlineLevel="1" thickBot="1">
      <c r="B149" s="259"/>
      <c r="C149" s="260"/>
      <c r="D149" s="12" t="s">
        <v>189</v>
      </c>
      <c r="E149" s="297"/>
      <c r="F149" s="427" t="s">
        <v>188</v>
      </c>
      <c r="G149" s="238">
        <v>500</v>
      </c>
      <c r="H149" s="229"/>
      <c r="I149" s="238"/>
      <c r="J149" s="229"/>
      <c r="K149" s="397">
        <f>E149*G149</f>
        <v>0</v>
      </c>
      <c r="L149" s="200"/>
      <c r="M149" s="328"/>
      <c r="N149" s="554"/>
      <c r="O149" s="555"/>
      <c r="P149" s="555"/>
      <c r="Q149" s="555"/>
      <c r="R149" s="555"/>
      <c r="S149" s="555"/>
      <c r="T149" s="555"/>
      <c r="U149" s="555"/>
      <c r="V149" s="555"/>
      <c r="W149" s="555"/>
      <c r="X149" s="555"/>
      <c r="Y149" s="555"/>
      <c r="Z149" s="556"/>
    </row>
    <row r="150" spans="2:42" s="5" customFormat="1" ht="18" hidden="1" customHeight="1" outlineLevel="1" thickBot="1">
      <c r="B150" s="259"/>
      <c r="C150" s="260"/>
      <c r="D150" s="261"/>
      <c r="E150" s="262"/>
      <c r="F150" s="237"/>
      <c r="G150" s="237"/>
      <c r="H150" s="229"/>
      <c r="I150" s="238"/>
      <c r="J150" s="229"/>
      <c r="K150" s="403" t="s">
        <v>111</v>
      </c>
      <c r="L150" s="200"/>
      <c r="M150" s="234">
        <f>SUM(K125:K149)+SUM(M125:M149)</f>
        <v>0</v>
      </c>
      <c r="N150" s="200"/>
      <c r="O150" s="12"/>
      <c r="P150" s="12"/>
      <c r="Q150" s="12"/>
      <c r="R150" s="12"/>
      <c r="S150" s="12"/>
      <c r="T150" s="12"/>
      <c r="U150" s="12"/>
      <c r="V150" s="12"/>
      <c r="W150" s="12"/>
      <c r="X150" s="12"/>
      <c r="Y150" s="12"/>
      <c r="Z150" s="201"/>
    </row>
    <row r="151" spans="2:42" s="5" customFormat="1" ht="18" customHeight="1" collapsed="1">
      <c r="B151" s="10"/>
      <c r="C151" s="10"/>
      <c r="D151" s="4"/>
      <c r="E151" s="10"/>
      <c r="F151" s="10"/>
      <c r="G151" s="10"/>
      <c r="H151" s="10"/>
      <c r="I151" s="123"/>
      <c r="J151" s="10"/>
      <c r="K151" s="123"/>
    </row>
    <row r="152" spans="2:42" s="185" customFormat="1" ht="36.75" customHeight="1">
      <c r="B152" s="562" t="s">
        <v>190</v>
      </c>
      <c r="C152" s="563"/>
      <c r="D152" s="563"/>
      <c r="E152" s="563"/>
      <c r="F152" s="563"/>
      <c r="G152" s="563"/>
      <c r="H152" s="563"/>
      <c r="I152" s="563"/>
      <c r="J152" s="563"/>
      <c r="K152" s="565"/>
      <c r="L152" s="565"/>
      <c r="M152" s="566"/>
      <c r="N152" s="562" t="s">
        <v>13</v>
      </c>
      <c r="O152" s="563"/>
      <c r="P152" s="563"/>
      <c r="Q152" s="563"/>
      <c r="R152" s="563"/>
      <c r="S152" s="563"/>
      <c r="T152" s="563"/>
      <c r="U152" s="563"/>
      <c r="V152" s="563"/>
      <c r="W152" s="563"/>
      <c r="X152" s="563"/>
      <c r="Y152" s="563"/>
      <c r="Z152" s="564"/>
      <c r="AA152" s="183"/>
      <c r="AB152" s="183"/>
      <c r="AC152" s="183"/>
      <c r="AD152" s="183"/>
      <c r="AE152" s="183"/>
      <c r="AF152" s="183"/>
      <c r="AG152" s="184"/>
      <c r="AH152" s="184"/>
    </row>
    <row r="153" spans="2:42" s="5" customFormat="1" ht="28.5" customHeight="1">
      <c r="B153" s="204">
        <v>5.0999999999999996</v>
      </c>
      <c r="C153" s="588" t="s">
        <v>191</v>
      </c>
      <c r="D153" s="589"/>
      <c r="E153" s="436" t="s">
        <v>29</v>
      </c>
      <c r="F153" s="408" t="s">
        <v>78</v>
      </c>
      <c r="G153" s="408" t="s">
        <v>102</v>
      </c>
      <c r="H153" s="438" t="s">
        <v>27</v>
      </c>
      <c r="I153" s="439" t="s">
        <v>28</v>
      </c>
      <c r="J153" s="409" t="s">
        <v>142</v>
      </c>
      <c r="K153" s="494" t="s">
        <v>59</v>
      </c>
      <c r="L153" s="495"/>
      <c r="M153" s="494" t="s">
        <v>60</v>
      </c>
      <c r="N153" s="205"/>
      <c r="O153" s="206"/>
      <c r="P153" s="206"/>
      <c r="Q153" s="206"/>
      <c r="R153" s="206"/>
      <c r="S153" s="206"/>
      <c r="T153" s="206"/>
      <c r="U153" s="206"/>
      <c r="V153" s="206"/>
      <c r="W153" s="206"/>
      <c r="X153" s="206"/>
      <c r="Y153" s="205"/>
      <c r="Z153" s="207"/>
    </row>
    <row r="154" spans="2:42" s="5" customFormat="1" ht="18" hidden="1" customHeight="1" outlineLevel="1" thickBot="1">
      <c r="B154" s="36"/>
      <c r="C154" s="37" t="s">
        <v>20</v>
      </c>
      <c r="D154" s="44" t="s">
        <v>192</v>
      </c>
      <c r="E154" s="391">
        <f>H154*I154/10000</f>
        <v>0</v>
      </c>
      <c r="F154" s="388" t="s">
        <v>144</v>
      </c>
      <c r="G154" s="437">
        <v>7000</v>
      </c>
      <c r="H154" s="430"/>
      <c r="I154" s="431"/>
      <c r="J154" s="88"/>
      <c r="K154" s="496">
        <f t="shared" ref="K154" si="5">E154*G154</f>
        <v>0</v>
      </c>
      <c r="L154" s="497"/>
      <c r="M154" s="498"/>
      <c r="N154" s="192" t="s">
        <v>193</v>
      </c>
      <c r="O154" s="192" t="s">
        <v>194</v>
      </c>
      <c r="P154" s="192"/>
      <c r="Q154" s="192"/>
      <c r="R154" s="192"/>
      <c r="S154" s="192"/>
      <c r="T154" s="192"/>
      <c r="U154" s="192"/>
      <c r="V154" s="192"/>
      <c r="W154" s="192"/>
      <c r="X154" s="192"/>
      <c r="Y154" s="192"/>
      <c r="Z154" s="196"/>
    </row>
    <row r="155" spans="2:42" s="5" customFormat="1" ht="18" hidden="1" customHeight="1" outlineLevel="1" thickBot="1">
      <c r="B155" s="68"/>
      <c r="C155" s="69" t="s">
        <v>23</v>
      </c>
      <c r="D155" s="154" t="s">
        <v>195</v>
      </c>
      <c r="E155" s="399">
        <f>H155*I155/10000</f>
        <v>0</v>
      </c>
      <c r="F155" s="107" t="s">
        <v>144</v>
      </c>
      <c r="G155" s="71">
        <v>2000</v>
      </c>
      <c r="H155" s="434"/>
      <c r="I155" s="435"/>
      <c r="J155" s="88"/>
      <c r="K155" s="496">
        <f>E155*G155</f>
        <v>0</v>
      </c>
      <c r="L155" s="497"/>
      <c r="M155" s="498"/>
      <c r="N155" s="193" t="s">
        <v>193</v>
      </c>
      <c r="O155" s="193"/>
      <c r="P155" s="193"/>
      <c r="Q155" s="193"/>
      <c r="R155" s="193"/>
      <c r="S155" s="193"/>
      <c r="T155" s="193"/>
      <c r="U155" s="193"/>
      <c r="V155" s="193"/>
      <c r="W155" s="193"/>
      <c r="X155" s="193"/>
      <c r="Y155" s="193"/>
      <c r="Z155" s="194"/>
    </row>
    <row r="156" spans="2:42" s="5" customFormat="1" ht="18" hidden="1" customHeight="1" outlineLevel="1">
      <c r="B156" s="40"/>
      <c r="C156" s="42"/>
      <c r="D156" s="46"/>
      <c r="E156" s="402"/>
      <c r="F156" s="53"/>
      <c r="G156" s="53"/>
      <c r="H156" s="440"/>
      <c r="I156" s="138"/>
      <c r="J156" s="65"/>
      <c r="K156" s="499" t="s">
        <v>111</v>
      </c>
      <c r="L156" s="497"/>
      <c r="M156" s="500">
        <f>SUM(K154:M155)</f>
        <v>0</v>
      </c>
      <c r="N156" s="147"/>
      <c r="Y156" s="147"/>
      <c r="Z156" s="151"/>
    </row>
    <row r="157" spans="2:42" s="5" customFormat="1" ht="18" customHeight="1" collapsed="1">
      <c r="B157" s="160">
        <v>5.2</v>
      </c>
      <c r="C157" s="161" t="s">
        <v>196</v>
      </c>
      <c r="D157" s="178"/>
      <c r="E157" s="390" t="s">
        <v>29</v>
      </c>
      <c r="F157" s="374" t="s">
        <v>78</v>
      </c>
      <c r="G157" s="374" t="s">
        <v>197</v>
      </c>
      <c r="H157" s="428" t="s">
        <v>27</v>
      </c>
      <c r="I157" s="429" t="s">
        <v>28</v>
      </c>
      <c r="J157" s="410"/>
      <c r="K157" s="494" t="s">
        <v>59</v>
      </c>
      <c r="L157" s="495"/>
      <c r="M157" s="494" t="s">
        <v>60</v>
      </c>
      <c r="N157" s="174"/>
      <c r="O157" s="197"/>
      <c r="P157" s="197"/>
      <c r="Q157" s="197"/>
      <c r="R157" s="197"/>
      <c r="S157" s="198"/>
      <c r="T157" s="197"/>
      <c r="U157" s="197"/>
      <c r="V157" s="197"/>
      <c r="W157" s="197"/>
      <c r="X157" s="197"/>
      <c r="Y157" s="174"/>
      <c r="Z157" s="176"/>
      <c r="AD157" s="11"/>
    </row>
    <row r="158" spans="2:42" s="5" customFormat="1" ht="18" hidden="1" customHeight="1" outlineLevel="1" thickBot="1">
      <c r="B158" s="68"/>
      <c r="C158" s="39" t="s">
        <v>20</v>
      </c>
      <c r="D158" s="49" t="s">
        <v>198</v>
      </c>
      <c r="E158" s="391">
        <f>(H158*I158)/10000</f>
        <v>0</v>
      </c>
      <c r="F158" s="441" t="s">
        <v>144</v>
      </c>
      <c r="G158" s="71">
        <v>400</v>
      </c>
      <c r="H158" s="430"/>
      <c r="I158" s="431"/>
      <c r="J158" s="85"/>
      <c r="K158" s="496">
        <f>E158*G158</f>
        <v>0</v>
      </c>
      <c r="L158" s="497"/>
      <c r="M158" s="498"/>
      <c r="N158" s="192" t="s">
        <v>193</v>
      </c>
      <c r="O158" s="192"/>
      <c r="P158" s="192"/>
      <c r="Q158" s="192"/>
      <c r="R158" s="192"/>
      <c r="S158" s="192"/>
      <c r="T158" s="192"/>
      <c r="U158" s="192"/>
      <c r="V158" s="192"/>
      <c r="W158" s="192"/>
      <c r="X158" s="192"/>
      <c r="Y158" s="192"/>
      <c r="Z158" s="196"/>
    </row>
    <row r="159" spans="2:42" s="5" customFormat="1" ht="18" hidden="1" customHeight="1" outlineLevel="1" thickBot="1">
      <c r="B159" s="38"/>
      <c r="C159" s="39" t="s">
        <v>23</v>
      </c>
      <c r="D159" s="49" t="s">
        <v>199</v>
      </c>
      <c r="E159" s="392">
        <f>(H159*I159)/10000</f>
        <v>0</v>
      </c>
      <c r="F159" s="441" t="s">
        <v>144</v>
      </c>
      <c r="G159" s="71">
        <v>320</v>
      </c>
      <c r="H159" s="432"/>
      <c r="I159" s="433"/>
      <c r="J159" s="85"/>
      <c r="K159" s="496">
        <f>E159*G159</f>
        <v>0</v>
      </c>
      <c r="L159" s="497"/>
      <c r="M159" s="498"/>
      <c r="N159" s="193" t="s">
        <v>193</v>
      </c>
      <c r="O159" s="193" t="s">
        <v>200</v>
      </c>
      <c r="P159" s="193"/>
      <c r="Q159" s="193"/>
      <c r="R159" s="193"/>
      <c r="S159" s="193"/>
      <c r="T159" s="193"/>
      <c r="U159" s="193"/>
      <c r="V159" s="193"/>
      <c r="W159" s="193"/>
      <c r="X159" s="193"/>
      <c r="Y159" s="193"/>
      <c r="Z159" s="194"/>
    </row>
    <row r="160" spans="2:42" s="5" customFormat="1" ht="18" hidden="1" customHeight="1" outlineLevel="1" thickBot="1">
      <c r="B160" s="38"/>
      <c r="C160" s="39" t="s">
        <v>39</v>
      </c>
      <c r="D160" s="49" t="s">
        <v>201</v>
      </c>
      <c r="E160" s="399">
        <f>(H160*I160)/10000</f>
        <v>0</v>
      </c>
      <c r="F160" s="441" t="s">
        <v>144</v>
      </c>
      <c r="G160" s="71">
        <v>800</v>
      </c>
      <c r="H160" s="434"/>
      <c r="I160" s="435"/>
      <c r="J160" s="85"/>
      <c r="K160" s="496">
        <f>E160*G160</f>
        <v>0</v>
      </c>
      <c r="L160" s="497"/>
      <c r="M160" s="498"/>
      <c r="N160" s="193" t="s">
        <v>193</v>
      </c>
      <c r="O160" s="193" t="s">
        <v>202</v>
      </c>
      <c r="P160" s="193"/>
      <c r="Q160" s="193"/>
      <c r="R160" s="193"/>
      <c r="S160" s="193"/>
      <c r="T160" s="193"/>
      <c r="U160" s="193"/>
      <c r="V160" s="193"/>
      <c r="W160" s="193"/>
      <c r="X160" s="193"/>
      <c r="Y160" s="193"/>
      <c r="Z160" s="194"/>
    </row>
    <row r="161" spans="2:30" s="5" customFormat="1" ht="18" hidden="1" customHeight="1" outlineLevel="1">
      <c r="B161" s="40"/>
      <c r="C161" s="42"/>
      <c r="D161" s="155"/>
      <c r="E161" s="128"/>
      <c r="F161" s="53"/>
      <c r="G161" s="53"/>
      <c r="H161" s="440"/>
      <c r="I161" s="138"/>
      <c r="J161" s="65"/>
      <c r="K161" s="499" t="s">
        <v>111</v>
      </c>
      <c r="L161" s="497"/>
      <c r="M161" s="500">
        <f>SUM(K158:M160)</f>
        <v>0</v>
      </c>
      <c r="Z161" s="116"/>
    </row>
    <row r="162" spans="2:30" s="5" customFormat="1" ht="18" customHeight="1" collapsed="1">
      <c r="B162" s="173">
        <v>5.3</v>
      </c>
      <c r="C162" s="208" t="s">
        <v>203</v>
      </c>
      <c r="D162" s="161"/>
      <c r="E162" s="373" t="s">
        <v>29</v>
      </c>
      <c r="F162" s="374" t="s">
        <v>78</v>
      </c>
      <c r="G162" s="374" t="s">
        <v>102</v>
      </c>
      <c r="H162" s="383" t="s">
        <v>27</v>
      </c>
      <c r="I162" s="376" t="s">
        <v>28</v>
      </c>
      <c r="J162" s="377" t="s">
        <v>142</v>
      </c>
      <c r="K162" s="494" t="s">
        <v>59</v>
      </c>
      <c r="L162" s="495"/>
      <c r="M162" s="494" t="s">
        <v>60</v>
      </c>
      <c r="N162" s="174"/>
      <c r="O162" s="197"/>
      <c r="P162" s="197"/>
      <c r="Q162" s="197"/>
      <c r="R162" s="197"/>
      <c r="S162" s="197"/>
      <c r="T162" s="197"/>
      <c r="U162" s="197"/>
      <c r="V162" s="197"/>
      <c r="W162" s="197"/>
      <c r="X162" s="197"/>
      <c r="Y162" s="174"/>
      <c r="Z162" s="176"/>
    </row>
    <row r="163" spans="2:30" s="5" customFormat="1" ht="18" hidden="1" customHeight="1" outlineLevel="1" thickBot="1">
      <c r="B163" s="36"/>
      <c r="C163" s="37" t="s">
        <v>20</v>
      </c>
      <c r="D163" s="47" t="s">
        <v>204</v>
      </c>
      <c r="E163" s="442"/>
      <c r="F163" s="159"/>
      <c r="G163" s="159"/>
      <c r="H163" s="445"/>
      <c r="I163" s="424"/>
      <c r="J163" s="445"/>
      <c r="K163" s="497"/>
      <c r="L163" s="497"/>
      <c r="M163" s="497"/>
      <c r="N163" s="192"/>
      <c r="O163" s="192" t="s">
        <v>205</v>
      </c>
      <c r="P163" s="192" t="s">
        <v>206</v>
      </c>
      <c r="Q163" s="192"/>
      <c r="R163" s="192"/>
      <c r="S163" s="192"/>
      <c r="T163" s="192"/>
      <c r="U163" s="192"/>
      <c r="V163" s="192"/>
      <c r="W163" s="192"/>
      <c r="X163" s="192"/>
      <c r="Y163" s="192"/>
      <c r="Z163" s="196"/>
    </row>
    <row r="164" spans="2:30" s="5" customFormat="1" ht="18" hidden="1" customHeight="1" outlineLevel="1" thickBot="1">
      <c r="B164" s="68"/>
      <c r="C164" s="69"/>
      <c r="D164" s="152" t="s">
        <v>207</v>
      </c>
      <c r="E164" s="391">
        <f>H164*I164*J164</f>
        <v>0</v>
      </c>
      <c r="F164" s="425" t="s">
        <v>140</v>
      </c>
      <c r="G164" s="444">
        <v>15</v>
      </c>
      <c r="H164" s="430"/>
      <c r="I164" s="431"/>
      <c r="J164" s="493"/>
      <c r="K164" s="496">
        <f>E164*G164</f>
        <v>0</v>
      </c>
      <c r="L164" s="497"/>
      <c r="M164" s="498"/>
      <c r="N164" s="193" t="s">
        <v>208</v>
      </c>
      <c r="O164" s="193"/>
      <c r="P164" s="193"/>
      <c r="Q164" s="193"/>
      <c r="R164" s="193"/>
      <c r="S164" s="193"/>
      <c r="T164" s="193"/>
      <c r="U164" s="193"/>
      <c r="V164" s="193"/>
      <c r="W164" s="193"/>
      <c r="X164" s="193"/>
      <c r="Y164" s="193"/>
      <c r="Z164" s="194"/>
    </row>
    <row r="165" spans="2:30" s="5" customFormat="1" ht="18" hidden="1" customHeight="1" outlineLevel="1" thickBot="1">
      <c r="B165" s="38"/>
      <c r="C165" s="39"/>
      <c r="D165" s="45" t="s">
        <v>209</v>
      </c>
      <c r="E165" s="392">
        <f>(H165*I165)/10000</f>
        <v>0</v>
      </c>
      <c r="F165" s="107" t="s">
        <v>144</v>
      </c>
      <c r="G165" s="71">
        <v>30000</v>
      </c>
      <c r="H165" s="434"/>
      <c r="I165" s="435"/>
      <c r="J165" s="87"/>
      <c r="K165" s="496">
        <f>E165*G165</f>
        <v>0</v>
      </c>
      <c r="L165" s="497"/>
      <c r="M165" s="498"/>
      <c r="N165" s="193" t="s">
        <v>208</v>
      </c>
      <c r="O165" s="193" t="s">
        <v>210</v>
      </c>
      <c r="P165" s="193"/>
      <c r="Q165" s="193"/>
      <c r="R165" s="193"/>
      <c r="S165" s="193"/>
      <c r="T165" s="193"/>
      <c r="U165" s="193"/>
      <c r="V165" s="193"/>
      <c r="W165" s="193"/>
      <c r="X165" s="193"/>
      <c r="Y165" s="193"/>
      <c r="Z165" s="194"/>
    </row>
    <row r="166" spans="2:30" s="5" customFormat="1" ht="18" hidden="1" customHeight="1" outlineLevel="1" thickBot="1">
      <c r="B166" s="38"/>
      <c r="C166" s="39" t="s">
        <v>23</v>
      </c>
      <c r="D166" s="45" t="s">
        <v>211</v>
      </c>
      <c r="E166" s="443">
        <v>0</v>
      </c>
      <c r="F166" s="107" t="s">
        <v>212</v>
      </c>
      <c r="G166" s="59">
        <v>200</v>
      </c>
      <c r="H166" s="87"/>
      <c r="I166" s="82"/>
      <c r="J166" s="78"/>
      <c r="K166" s="496">
        <f>E166*G166</f>
        <v>0</v>
      </c>
      <c r="L166" s="497"/>
      <c r="M166" s="498"/>
      <c r="N166" s="193" t="s">
        <v>208</v>
      </c>
      <c r="O166" s="193" t="s">
        <v>213</v>
      </c>
      <c r="P166" s="193"/>
      <c r="Q166" s="193"/>
      <c r="R166" s="193"/>
      <c r="S166" s="193"/>
      <c r="T166" s="193"/>
      <c r="U166" s="193"/>
      <c r="V166" s="193"/>
      <c r="W166" s="193"/>
      <c r="X166" s="193"/>
      <c r="Y166" s="193"/>
      <c r="Z166" s="194"/>
      <c r="AA166"/>
    </row>
    <row r="167" spans="2:30" s="5" customFormat="1" ht="18" hidden="1" customHeight="1" outlineLevel="1">
      <c r="B167" s="40"/>
      <c r="C167" s="41"/>
      <c r="D167" s="46"/>
      <c r="E167" s="128"/>
      <c r="F167" s="53"/>
      <c r="G167" s="53"/>
      <c r="H167" s="65"/>
      <c r="I167" s="60"/>
      <c r="J167" s="65"/>
      <c r="K167" s="499" t="s">
        <v>111</v>
      </c>
      <c r="L167" s="497"/>
      <c r="M167" s="500">
        <f>SUM(K164:M166)</f>
        <v>0</v>
      </c>
      <c r="N167" s="147"/>
      <c r="Y167" s="147"/>
      <c r="Z167" s="151"/>
    </row>
    <row r="168" spans="2:30" s="5" customFormat="1" ht="18" customHeight="1" collapsed="1">
      <c r="B168" s="160">
        <v>5.4</v>
      </c>
      <c r="C168" s="161" t="s">
        <v>214</v>
      </c>
      <c r="D168" s="178"/>
      <c r="E168" s="373" t="s">
        <v>29</v>
      </c>
      <c r="F168" s="374" t="s">
        <v>78</v>
      </c>
      <c r="G168" s="374" t="s">
        <v>102</v>
      </c>
      <c r="H168" s="383"/>
      <c r="I168" s="376"/>
      <c r="J168" s="377"/>
      <c r="K168" s="494" t="s">
        <v>59</v>
      </c>
      <c r="L168" s="495"/>
      <c r="M168" s="494" t="s">
        <v>60</v>
      </c>
      <c r="N168" s="174"/>
      <c r="O168" s="175"/>
      <c r="P168" s="175"/>
      <c r="Q168" s="175"/>
      <c r="R168" s="175"/>
      <c r="S168" s="179"/>
      <c r="T168" s="175"/>
      <c r="U168" s="175"/>
      <c r="V168" s="175"/>
      <c r="W168" s="175"/>
      <c r="X168" s="175"/>
      <c r="Y168" s="174"/>
      <c r="Z168" s="176"/>
      <c r="AD168" s="11"/>
    </row>
    <row r="169" spans="2:30" s="5" customFormat="1" ht="18" hidden="1" customHeight="1" outlineLevel="1" thickBot="1">
      <c r="B169" s="36"/>
      <c r="C169" s="37" t="s">
        <v>20</v>
      </c>
      <c r="D169" s="158" t="s">
        <v>215</v>
      </c>
      <c r="E169" s="446"/>
      <c r="F169" s="52"/>
      <c r="G169" s="52"/>
      <c r="H169" s="77"/>
      <c r="I169" s="58"/>
      <c r="J169" s="77"/>
      <c r="K169" s="501"/>
      <c r="L169" s="497"/>
      <c r="M169" s="497"/>
      <c r="N169" s="149"/>
      <c r="S169" s="11"/>
      <c r="Y169" s="149"/>
      <c r="Z169" s="150"/>
      <c r="AD169" s="11"/>
    </row>
    <row r="170" spans="2:30" s="5" customFormat="1" ht="18" hidden="1" customHeight="1" outlineLevel="1" thickBot="1">
      <c r="B170" s="38"/>
      <c r="C170" s="39"/>
      <c r="D170" s="45" t="s">
        <v>216</v>
      </c>
      <c r="E170" s="391"/>
      <c r="F170" s="107" t="s">
        <v>217</v>
      </c>
      <c r="G170" s="59">
        <v>2500</v>
      </c>
      <c r="H170" s="78"/>
      <c r="I170" s="59"/>
      <c r="J170" s="78"/>
      <c r="K170" s="496">
        <f t="shared" ref="K170:K175" si="6">E170*G170</f>
        <v>0</v>
      </c>
      <c r="L170" s="497"/>
      <c r="M170" s="498"/>
      <c r="N170" s="193" t="s">
        <v>218</v>
      </c>
      <c r="O170" s="193" t="s">
        <v>218</v>
      </c>
      <c r="P170" s="193" t="s">
        <v>218</v>
      </c>
      <c r="Q170" s="193" t="s">
        <v>218</v>
      </c>
      <c r="R170" s="193" t="s">
        <v>218</v>
      </c>
      <c r="S170" s="193" t="s">
        <v>218</v>
      </c>
      <c r="T170" s="193" t="s">
        <v>218</v>
      </c>
      <c r="U170" s="193" t="s">
        <v>218</v>
      </c>
      <c r="V170" s="193" t="s">
        <v>218</v>
      </c>
      <c r="W170" s="193" t="s">
        <v>218</v>
      </c>
      <c r="X170" s="193" t="s">
        <v>218</v>
      </c>
      <c r="Y170" s="193"/>
      <c r="Z170" s="194"/>
      <c r="AD170" s="11"/>
    </row>
    <row r="171" spans="2:30" s="5" customFormat="1" ht="18" hidden="1" customHeight="1" outlineLevel="1" thickBot="1">
      <c r="B171" s="38"/>
      <c r="C171" s="39"/>
      <c r="D171" s="45" t="s">
        <v>219</v>
      </c>
      <c r="E171" s="392"/>
      <c r="F171" s="107" t="s">
        <v>217</v>
      </c>
      <c r="G171" s="59">
        <v>2750</v>
      </c>
      <c r="H171" s="78"/>
      <c r="I171" s="59"/>
      <c r="J171" s="78"/>
      <c r="K171" s="496">
        <f t="shared" si="6"/>
        <v>0</v>
      </c>
      <c r="L171" s="497"/>
      <c r="M171" s="498"/>
      <c r="N171" s="193" t="s">
        <v>218</v>
      </c>
      <c r="O171" s="193" t="s">
        <v>218</v>
      </c>
      <c r="P171" s="193" t="s">
        <v>218</v>
      </c>
      <c r="Q171" s="193" t="s">
        <v>218</v>
      </c>
      <c r="R171" s="193" t="s">
        <v>218</v>
      </c>
      <c r="S171" s="193" t="s">
        <v>218</v>
      </c>
      <c r="T171" s="193" t="s">
        <v>218</v>
      </c>
      <c r="U171" s="193" t="s">
        <v>218</v>
      </c>
      <c r="V171" s="193" t="s">
        <v>218</v>
      </c>
      <c r="W171" s="193" t="s">
        <v>218</v>
      </c>
      <c r="X171" s="193" t="s">
        <v>218</v>
      </c>
      <c r="Y171" s="193"/>
      <c r="Z171" s="194"/>
      <c r="AD171" s="11"/>
    </row>
    <row r="172" spans="2:30" s="5" customFormat="1" ht="18" hidden="1" customHeight="1" outlineLevel="1" thickBot="1">
      <c r="B172" s="38"/>
      <c r="C172" s="39"/>
      <c r="D172" s="45" t="s">
        <v>220</v>
      </c>
      <c r="E172" s="392"/>
      <c r="F172" s="107" t="s">
        <v>217</v>
      </c>
      <c r="G172" s="59">
        <v>3500</v>
      </c>
      <c r="H172" s="78"/>
      <c r="I172" s="59"/>
      <c r="J172" s="78"/>
      <c r="K172" s="496">
        <f t="shared" si="6"/>
        <v>0</v>
      </c>
      <c r="L172" s="497"/>
      <c r="M172" s="498"/>
      <c r="N172" s="193" t="s">
        <v>218</v>
      </c>
      <c r="O172" s="193" t="s">
        <v>218</v>
      </c>
      <c r="P172" s="193" t="s">
        <v>218</v>
      </c>
      <c r="Q172" s="193" t="s">
        <v>218</v>
      </c>
      <c r="R172" s="193" t="s">
        <v>218</v>
      </c>
      <c r="S172" s="193" t="s">
        <v>218</v>
      </c>
      <c r="T172" s="193" t="s">
        <v>218</v>
      </c>
      <c r="U172" s="193" t="s">
        <v>218</v>
      </c>
      <c r="V172" s="193" t="s">
        <v>218</v>
      </c>
      <c r="W172" s="193" t="s">
        <v>218</v>
      </c>
      <c r="X172" s="193" t="s">
        <v>218</v>
      </c>
      <c r="Y172" s="193"/>
      <c r="Z172" s="194"/>
      <c r="AD172" s="11"/>
    </row>
    <row r="173" spans="2:30" s="5" customFormat="1" ht="18" hidden="1" customHeight="1" outlineLevel="1" thickBot="1">
      <c r="B173" s="38"/>
      <c r="C173" s="39"/>
      <c r="D173" s="45" t="s">
        <v>221</v>
      </c>
      <c r="E173" s="392"/>
      <c r="F173" s="107" t="s">
        <v>217</v>
      </c>
      <c r="G173" s="59">
        <v>6000</v>
      </c>
      <c r="H173" s="78"/>
      <c r="I173" s="59"/>
      <c r="J173" s="78"/>
      <c r="K173" s="496">
        <f t="shared" si="6"/>
        <v>0</v>
      </c>
      <c r="L173" s="497"/>
      <c r="M173" s="498"/>
      <c r="N173" s="193" t="s">
        <v>218</v>
      </c>
      <c r="O173" s="193" t="s">
        <v>218</v>
      </c>
      <c r="P173" s="193" t="s">
        <v>218</v>
      </c>
      <c r="Q173" s="193" t="s">
        <v>218</v>
      </c>
      <c r="R173" s="193" t="s">
        <v>218</v>
      </c>
      <c r="S173" s="193" t="s">
        <v>218</v>
      </c>
      <c r="T173" s="193" t="s">
        <v>218</v>
      </c>
      <c r="U173" s="193" t="s">
        <v>218</v>
      </c>
      <c r="V173" s="193" t="s">
        <v>218</v>
      </c>
      <c r="W173" s="193" t="s">
        <v>218</v>
      </c>
      <c r="X173" s="193" t="s">
        <v>218</v>
      </c>
      <c r="Y173" s="193"/>
      <c r="Z173" s="194"/>
      <c r="AD173" s="11"/>
    </row>
    <row r="174" spans="2:30" s="5" customFormat="1" ht="18" hidden="1" customHeight="1" outlineLevel="1" thickBot="1">
      <c r="B174" s="38"/>
      <c r="C174" s="39"/>
      <c r="D174" s="45" t="s">
        <v>222</v>
      </c>
      <c r="E174" s="392"/>
      <c r="F174" s="107" t="s">
        <v>217</v>
      </c>
      <c r="G174" s="59">
        <v>7500</v>
      </c>
      <c r="H174" s="78"/>
      <c r="I174" s="59"/>
      <c r="J174" s="78"/>
      <c r="K174" s="496">
        <f t="shared" si="6"/>
        <v>0</v>
      </c>
      <c r="L174" s="497"/>
      <c r="M174" s="498"/>
      <c r="N174" s="193" t="s">
        <v>218</v>
      </c>
      <c r="O174" s="193" t="s">
        <v>218</v>
      </c>
      <c r="P174" s="193" t="s">
        <v>218</v>
      </c>
      <c r="Q174" s="193" t="s">
        <v>218</v>
      </c>
      <c r="R174" s="193" t="s">
        <v>218</v>
      </c>
      <c r="S174" s="193" t="s">
        <v>218</v>
      </c>
      <c r="T174" s="193" t="s">
        <v>218</v>
      </c>
      <c r="U174" s="193" t="s">
        <v>218</v>
      </c>
      <c r="V174" s="193" t="s">
        <v>218</v>
      </c>
      <c r="W174" s="193" t="s">
        <v>218</v>
      </c>
      <c r="X174" s="193" t="s">
        <v>218</v>
      </c>
      <c r="Y174" s="193"/>
      <c r="Z174" s="194"/>
      <c r="AD174" s="11"/>
    </row>
    <row r="175" spans="2:30" s="5" customFormat="1" ht="18" hidden="1" customHeight="1" outlineLevel="1" thickBot="1">
      <c r="B175" s="38"/>
      <c r="C175" s="39"/>
      <c r="D175" s="45" t="s">
        <v>223</v>
      </c>
      <c r="E175" s="399"/>
      <c r="F175" s="107" t="s">
        <v>217</v>
      </c>
      <c r="G175" s="59">
        <v>8500</v>
      </c>
      <c r="H175" s="78"/>
      <c r="I175" s="59"/>
      <c r="J175" s="78"/>
      <c r="K175" s="502">
        <f t="shared" si="6"/>
        <v>0</v>
      </c>
      <c r="L175" s="497"/>
      <c r="M175" s="498"/>
      <c r="N175" s="193" t="s">
        <v>218</v>
      </c>
      <c r="O175" s="193" t="s">
        <v>218</v>
      </c>
      <c r="P175" s="193" t="s">
        <v>218</v>
      </c>
      <c r="Q175" s="193" t="s">
        <v>218</v>
      </c>
      <c r="R175" s="193" t="s">
        <v>218</v>
      </c>
      <c r="S175" s="193" t="s">
        <v>218</v>
      </c>
      <c r="T175" s="193" t="s">
        <v>218</v>
      </c>
      <c r="U175" s="193" t="s">
        <v>218</v>
      </c>
      <c r="V175" s="193" t="s">
        <v>218</v>
      </c>
      <c r="W175" s="193" t="s">
        <v>218</v>
      </c>
      <c r="X175" s="193" t="s">
        <v>218</v>
      </c>
      <c r="Y175" s="193"/>
      <c r="Z175" s="194"/>
      <c r="AD175" s="11"/>
    </row>
    <row r="176" spans="2:30" s="5" customFormat="1" ht="18" hidden="1" customHeight="1" outlineLevel="1" thickBot="1">
      <c r="B176" s="38"/>
      <c r="C176" s="39" t="s">
        <v>23</v>
      </c>
      <c r="D176" s="45" t="s">
        <v>224</v>
      </c>
      <c r="E176" s="142"/>
      <c r="F176" s="13"/>
      <c r="G176" s="13"/>
      <c r="H176" s="78"/>
      <c r="I176" s="73"/>
      <c r="J176" s="78"/>
      <c r="K176" s="499"/>
      <c r="L176" s="497"/>
      <c r="M176" s="497"/>
      <c r="N176" s="193"/>
      <c r="O176" s="193"/>
      <c r="P176" s="193"/>
      <c r="Q176" s="193"/>
      <c r="R176" s="193"/>
      <c r="S176" s="193"/>
      <c r="T176" s="193"/>
      <c r="U176" s="193"/>
      <c r="V176" s="193"/>
      <c r="W176" s="193"/>
      <c r="X176" s="193"/>
      <c r="Y176" s="193"/>
      <c r="Z176" s="194"/>
    </row>
    <row r="177" spans="2:26" s="5" customFormat="1" ht="18" hidden="1" customHeight="1" outlineLevel="1" thickBot="1">
      <c r="B177" s="38"/>
      <c r="C177" s="43"/>
      <c r="D177" s="45" t="s">
        <v>225</v>
      </c>
      <c r="E177" s="391"/>
      <c r="F177" s="107" t="s">
        <v>226</v>
      </c>
      <c r="G177" s="59">
        <v>5000</v>
      </c>
      <c r="H177" s="78"/>
      <c r="I177" s="59"/>
      <c r="J177" s="78"/>
      <c r="K177" s="496">
        <f>E177*G177</f>
        <v>0</v>
      </c>
      <c r="L177" s="497"/>
      <c r="M177" s="498"/>
      <c r="N177" s="193" t="s">
        <v>227</v>
      </c>
      <c r="O177" s="193" t="s">
        <v>228</v>
      </c>
      <c r="P177" s="193"/>
      <c r="Q177" s="193"/>
      <c r="R177" s="193"/>
      <c r="S177" s="193"/>
      <c r="T177" s="193"/>
      <c r="U177" s="193"/>
      <c r="V177" s="193"/>
      <c r="W177" s="193"/>
      <c r="X177" s="193"/>
      <c r="Y177" s="193"/>
      <c r="Z177" s="194"/>
    </row>
    <row r="178" spans="2:26" s="5" customFormat="1" ht="18" hidden="1" customHeight="1" outlineLevel="1" thickBot="1">
      <c r="B178" s="38"/>
      <c r="C178" s="43"/>
      <c r="D178" s="45" t="s">
        <v>229</v>
      </c>
      <c r="E178" s="392"/>
      <c r="F178" s="107" t="s">
        <v>226</v>
      </c>
      <c r="G178" s="59">
        <v>10000</v>
      </c>
      <c r="H178" s="78"/>
      <c r="I178" s="73"/>
      <c r="J178" s="78"/>
      <c r="K178" s="496">
        <f>E178*G178</f>
        <v>0</v>
      </c>
      <c r="L178" s="497"/>
      <c r="M178" s="498"/>
      <c r="N178" s="193" t="s">
        <v>227</v>
      </c>
      <c r="O178" s="193" t="s">
        <v>228</v>
      </c>
      <c r="P178" s="193"/>
      <c r="Q178" s="193"/>
      <c r="R178" s="193"/>
      <c r="S178" s="193"/>
      <c r="T178" s="193"/>
      <c r="U178" s="193"/>
      <c r="V178" s="193"/>
      <c r="W178" s="193"/>
      <c r="X178" s="193"/>
      <c r="Y178" s="193"/>
      <c r="Z178" s="194"/>
    </row>
    <row r="179" spans="2:26" s="5" customFormat="1" ht="19.5" hidden="1" customHeight="1" outlineLevel="1" thickBot="1">
      <c r="B179" s="70"/>
      <c r="C179" s="67" t="s">
        <v>39</v>
      </c>
      <c r="D179" s="100" t="s">
        <v>230</v>
      </c>
      <c r="E179" s="399"/>
      <c r="F179" s="133" t="s">
        <v>150</v>
      </c>
      <c r="G179" s="101">
        <v>1000</v>
      </c>
      <c r="H179" s="139"/>
      <c r="I179" s="140"/>
      <c r="J179" s="141"/>
      <c r="K179" s="496">
        <f>E179*G179</f>
        <v>0</v>
      </c>
      <c r="L179" s="497"/>
      <c r="M179" s="498"/>
      <c r="N179" s="193" t="s">
        <v>227</v>
      </c>
      <c r="O179" s="193"/>
      <c r="P179" s="193"/>
      <c r="Q179" s="193"/>
      <c r="R179" s="193"/>
      <c r="S179" s="193"/>
      <c r="T179" s="193"/>
      <c r="U179" s="193"/>
      <c r="V179" s="193"/>
      <c r="W179" s="193"/>
      <c r="X179" s="193"/>
      <c r="Y179" s="193"/>
      <c r="Z179" s="194"/>
    </row>
    <row r="180" spans="2:26" s="5" customFormat="1" ht="18" hidden="1" customHeight="1" outlineLevel="1">
      <c r="B180" s="40"/>
      <c r="C180" s="41"/>
      <c r="D180" s="48"/>
      <c r="E180" s="402"/>
      <c r="F180" s="53"/>
      <c r="G180" s="53"/>
      <c r="H180" s="65"/>
      <c r="I180" s="60"/>
      <c r="J180" s="65"/>
      <c r="K180" s="499" t="s">
        <v>111</v>
      </c>
      <c r="L180" s="497"/>
      <c r="M180" s="499">
        <f>SUM(K170:M179)</f>
        <v>0</v>
      </c>
      <c r="N180" s="147"/>
      <c r="Y180" s="147"/>
      <c r="Z180" s="151"/>
    </row>
    <row r="181" spans="2:26" s="5" customFormat="1" ht="29.25" customHeight="1" collapsed="1">
      <c r="B181" s="173">
        <v>5.5</v>
      </c>
      <c r="C181" s="584" t="s">
        <v>231</v>
      </c>
      <c r="D181" s="585"/>
      <c r="E181" s="411" t="s">
        <v>31</v>
      </c>
      <c r="F181" s="412" t="s">
        <v>232</v>
      </c>
      <c r="G181" s="411" t="s">
        <v>233</v>
      </c>
      <c r="H181" s="413" t="s">
        <v>234</v>
      </c>
      <c r="I181" s="412" t="s">
        <v>235</v>
      </c>
      <c r="J181" s="414" t="s">
        <v>236</v>
      </c>
      <c r="K181" s="494" t="s">
        <v>59</v>
      </c>
      <c r="L181" s="495"/>
      <c r="M181" s="494" t="s">
        <v>60</v>
      </c>
      <c r="N181" s="174"/>
      <c r="O181" s="175"/>
      <c r="P181" s="175"/>
      <c r="Q181" s="175"/>
      <c r="R181" s="175"/>
      <c r="S181" s="175"/>
      <c r="T181" s="175"/>
      <c r="U181" s="175"/>
      <c r="V181" s="175"/>
      <c r="W181" s="175"/>
      <c r="X181" s="175"/>
      <c r="Y181" s="174"/>
      <c r="Z181" s="176"/>
    </row>
    <row r="182" spans="2:26" s="5" customFormat="1" ht="18" hidden="1" customHeight="1" outlineLevel="1" thickBot="1">
      <c r="B182" s="36"/>
      <c r="C182" s="37" t="s">
        <v>20</v>
      </c>
      <c r="D182" s="51" t="s">
        <v>237</v>
      </c>
      <c r="E182" s="447"/>
      <c r="F182" s="55" t="s">
        <v>238</v>
      </c>
      <c r="G182" s="55"/>
      <c r="H182" s="61"/>
      <c r="I182" s="55"/>
      <c r="J182" s="95"/>
      <c r="K182" s="503"/>
      <c r="L182" s="497"/>
      <c r="M182" s="494" t="s">
        <v>60</v>
      </c>
      <c r="N182" s="149"/>
      <c r="Y182" s="149"/>
      <c r="Z182" s="150"/>
    </row>
    <row r="183" spans="2:26" s="5" customFormat="1" ht="18" hidden="1" customHeight="1" outlineLevel="1" thickBot="1">
      <c r="B183" s="38"/>
      <c r="C183" s="39"/>
      <c r="D183" s="49" t="s">
        <v>239</v>
      </c>
      <c r="E183" s="391"/>
      <c r="F183" s="441">
        <v>25</v>
      </c>
      <c r="G183" s="56">
        <f>F183*E183</f>
        <v>0</v>
      </c>
      <c r="H183" s="91">
        <v>15</v>
      </c>
      <c r="I183" s="59">
        <f>G183*H183</f>
        <v>0</v>
      </c>
      <c r="J183" s="63">
        <f>400*E183</f>
        <v>0</v>
      </c>
      <c r="K183" s="496">
        <f>J183+I183+I184</f>
        <v>0</v>
      </c>
      <c r="L183" s="497"/>
      <c r="M183" s="494" t="s">
        <v>60</v>
      </c>
      <c r="N183" s="193" t="s">
        <v>240</v>
      </c>
      <c r="O183" s="193" t="s">
        <v>241</v>
      </c>
      <c r="P183" s="193"/>
      <c r="Q183" s="193"/>
      <c r="R183" s="193"/>
      <c r="S183" s="193"/>
      <c r="T183" s="193"/>
      <c r="U183" s="193"/>
      <c r="V183" s="193"/>
      <c r="W183" s="193"/>
      <c r="X183" s="193"/>
      <c r="Y183" s="193"/>
      <c r="Z183" s="194"/>
    </row>
    <row r="184" spans="2:26" s="5" customFormat="1" ht="18" hidden="1" customHeight="1" outlineLevel="1" thickBot="1">
      <c r="B184" s="38"/>
      <c r="C184" s="39"/>
      <c r="D184" s="49" t="s">
        <v>242</v>
      </c>
      <c r="E184" s="399"/>
      <c r="F184" s="441">
        <v>300</v>
      </c>
      <c r="G184" s="56">
        <f>F184*E184</f>
        <v>0</v>
      </c>
      <c r="H184" s="91">
        <v>1.25</v>
      </c>
      <c r="I184" s="59">
        <f>G184*H184</f>
        <v>0</v>
      </c>
      <c r="J184" s="63"/>
      <c r="K184" s="499"/>
      <c r="L184" s="497"/>
      <c r="M184" s="494" t="s">
        <v>60</v>
      </c>
      <c r="N184" s="193"/>
      <c r="O184" s="193" t="s">
        <v>243</v>
      </c>
      <c r="P184" s="193"/>
      <c r="Q184" s="193"/>
      <c r="R184" s="193"/>
      <c r="S184" s="193"/>
      <c r="T184" s="193"/>
      <c r="U184" s="193"/>
      <c r="V184" s="193"/>
      <c r="W184" s="193"/>
      <c r="X184" s="193"/>
      <c r="Y184" s="193"/>
      <c r="Z184" s="194"/>
    </row>
    <row r="185" spans="2:26" s="5" customFormat="1" ht="18" hidden="1" customHeight="1" outlineLevel="1" thickBot="1">
      <c r="B185" s="38"/>
      <c r="C185" s="39" t="s">
        <v>23</v>
      </c>
      <c r="D185" s="49" t="s">
        <v>244</v>
      </c>
      <c r="E185" s="448"/>
      <c r="F185" s="56" t="s">
        <v>238</v>
      </c>
      <c r="G185" s="56"/>
      <c r="H185" s="92"/>
      <c r="I185" s="59"/>
      <c r="J185" s="63"/>
      <c r="K185" s="499"/>
      <c r="L185" s="497"/>
      <c r="M185" s="494" t="s">
        <v>60</v>
      </c>
      <c r="N185" s="193"/>
      <c r="O185" s="193"/>
      <c r="P185" s="193"/>
      <c r="Q185" s="193"/>
      <c r="R185" s="193"/>
      <c r="S185" s="193"/>
      <c r="T185" s="193"/>
      <c r="U185" s="193"/>
      <c r="V185" s="193"/>
      <c r="W185" s="193"/>
      <c r="X185" s="193"/>
      <c r="Y185" s="193"/>
      <c r="Z185" s="194"/>
    </row>
    <row r="186" spans="2:26" s="5" customFormat="1" ht="18" hidden="1" customHeight="1" outlineLevel="1" thickBot="1">
      <c r="B186" s="38"/>
      <c r="C186" s="39"/>
      <c r="D186" s="49" t="s">
        <v>239</v>
      </c>
      <c r="E186" s="391"/>
      <c r="F186" s="441">
        <v>25</v>
      </c>
      <c r="G186" s="56">
        <f>F186*E186</f>
        <v>0</v>
      </c>
      <c r="H186" s="91">
        <v>15</v>
      </c>
      <c r="I186" s="59">
        <f>G186*H186</f>
        <v>0</v>
      </c>
      <c r="J186" s="63">
        <f>160*E186</f>
        <v>0</v>
      </c>
      <c r="K186" s="496">
        <f>I186+J186+I187</f>
        <v>0</v>
      </c>
      <c r="L186" s="497"/>
      <c r="M186" s="494" t="s">
        <v>60</v>
      </c>
      <c r="N186" s="193" t="s">
        <v>240</v>
      </c>
      <c r="O186" s="193" t="s">
        <v>241</v>
      </c>
      <c r="P186" s="193"/>
      <c r="Q186" s="193"/>
      <c r="R186" s="193"/>
      <c r="S186" s="193"/>
      <c r="T186" s="193"/>
      <c r="U186" s="193"/>
      <c r="V186" s="193"/>
      <c r="W186" s="193"/>
      <c r="X186" s="193"/>
      <c r="Y186" s="193"/>
      <c r="Z186" s="194"/>
    </row>
    <row r="187" spans="2:26" s="5" customFormat="1" ht="18" hidden="1" customHeight="1" outlineLevel="1" thickBot="1">
      <c r="B187" s="38"/>
      <c r="C187" s="39"/>
      <c r="D187" s="49" t="s">
        <v>242</v>
      </c>
      <c r="E187" s="399"/>
      <c r="F187" s="441">
        <v>300</v>
      </c>
      <c r="G187" s="56">
        <f>F187*E187</f>
        <v>0</v>
      </c>
      <c r="H187" s="91">
        <v>1.25</v>
      </c>
      <c r="I187" s="59">
        <f>G187*H187</f>
        <v>0</v>
      </c>
      <c r="J187" s="63"/>
      <c r="K187" s="499"/>
      <c r="L187" s="497"/>
      <c r="M187" s="494" t="s">
        <v>60</v>
      </c>
      <c r="N187" s="193"/>
      <c r="O187" s="193" t="s">
        <v>243</v>
      </c>
      <c r="P187" s="193"/>
      <c r="Q187" s="193"/>
      <c r="R187" s="193"/>
      <c r="S187" s="193"/>
      <c r="T187" s="193"/>
      <c r="U187" s="193"/>
      <c r="V187" s="193"/>
      <c r="W187" s="193"/>
      <c r="X187" s="193"/>
      <c r="Y187" s="193"/>
      <c r="Z187" s="194"/>
    </row>
    <row r="188" spans="2:26" s="5" customFormat="1" ht="18" hidden="1" customHeight="1" outlineLevel="1" thickBot="1">
      <c r="B188" s="38"/>
      <c r="C188" s="39" t="s">
        <v>39</v>
      </c>
      <c r="D188" s="49" t="s">
        <v>245</v>
      </c>
      <c r="E188" s="448"/>
      <c r="F188" s="56"/>
      <c r="G188" s="56"/>
      <c r="H188" s="92"/>
      <c r="I188" s="59"/>
      <c r="J188" s="63"/>
      <c r="K188" s="499"/>
      <c r="L188" s="497"/>
      <c r="M188" s="494" t="s">
        <v>60</v>
      </c>
      <c r="N188" s="193"/>
      <c r="O188" s="193"/>
      <c r="P188" s="193"/>
      <c r="Q188" s="193"/>
      <c r="R188" s="193"/>
      <c r="S188" s="193"/>
      <c r="T188" s="193"/>
      <c r="U188" s="193"/>
      <c r="V188" s="193"/>
      <c r="W188" s="193"/>
      <c r="X188" s="193"/>
      <c r="Y188" s="193"/>
      <c r="Z188" s="194"/>
    </row>
    <row r="189" spans="2:26" s="5" customFormat="1" ht="18" hidden="1" customHeight="1" outlineLevel="1" thickBot="1">
      <c r="B189" s="38"/>
      <c r="C189" s="39"/>
      <c r="D189" s="49" t="s">
        <v>239</v>
      </c>
      <c r="E189" s="391"/>
      <c r="F189" s="441">
        <v>25</v>
      </c>
      <c r="G189" s="56">
        <f>F189*E189</f>
        <v>0</v>
      </c>
      <c r="H189" s="91">
        <v>15</v>
      </c>
      <c r="I189" s="59">
        <f>G189*H189</f>
        <v>0</v>
      </c>
      <c r="J189" s="63">
        <f>2100*E189</f>
        <v>0</v>
      </c>
      <c r="K189" s="496">
        <f>I189+J189+I190</f>
        <v>0</v>
      </c>
      <c r="L189" s="497"/>
      <c r="M189" s="494" t="s">
        <v>60</v>
      </c>
      <c r="N189" s="193" t="s">
        <v>240</v>
      </c>
      <c r="O189" s="193" t="s">
        <v>241</v>
      </c>
      <c r="P189" s="193"/>
      <c r="Q189" s="193"/>
      <c r="R189" s="193"/>
      <c r="S189" s="193"/>
      <c r="T189" s="193"/>
      <c r="U189" s="193"/>
      <c r="V189" s="193"/>
      <c r="W189" s="193"/>
      <c r="X189" s="193"/>
      <c r="Y189" s="193"/>
      <c r="Z189" s="194"/>
    </row>
    <row r="190" spans="2:26" s="5" customFormat="1" ht="18" hidden="1" customHeight="1" outlineLevel="1" thickBot="1">
      <c r="B190" s="38"/>
      <c r="C190" s="39"/>
      <c r="D190" s="49" t="s">
        <v>242</v>
      </c>
      <c r="E190" s="399"/>
      <c r="F190" s="441">
        <v>300</v>
      </c>
      <c r="G190" s="56">
        <f>F190*E190</f>
        <v>0</v>
      </c>
      <c r="H190" s="91">
        <v>1.25</v>
      </c>
      <c r="I190" s="59">
        <f>G190*H190</f>
        <v>0</v>
      </c>
      <c r="J190" s="63"/>
      <c r="K190" s="499"/>
      <c r="L190" s="497"/>
      <c r="M190" s="494" t="s">
        <v>60</v>
      </c>
      <c r="N190" s="156"/>
      <c r="O190" s="5" t="s">
        <v>243</v>
      </c>
      <c r="Y190" s="156"/>
      <c r="Z190" s="157"/>
    </row>
    <row r="191" spans="2:26" s="5" customFormat="1" ht="18" hidden="1" customHeight="1" outlineLevel="1">
      <c r="B191" s="40"/>
      <c r="C191" s="42"/>
      <c r="D191" s="50"/>
      <c r="E191" s="449"/>
      <c r="F191" s="57"/>
      <c r="G191" s="57"/>
      <c r="H191" s="93"/>
      <c r="I191" s="57"/>
      <c r="J191" s="64"/>
      <c r="K191" s="499" t="s">
        <v>111</v>
      </c>
      <c r="L191" s="497"/>
      <c r="M191" s="494" t="s">
        <v>60</v>
      </c>
      <c r="N191" s="147"/>
      <c r="Y191" s="147"/>
      <c r="Z191" s="151"/>
    </row>
    <row r="192" spans="2:26" s="5" customFormat="1" ht="27" customHeight="1" collapsed="1">
      <c r="B192" s="160">
        <v>5.6</v>
      </c>
      <c r="C192" s="162" t="s">
        <v>246</v>
      </c>
      <c r="D192" s="161"/>
      <c r="E192" s="412" t="s">
        <v>31</v>
      </c>
      <c r="F192" s="412" t="s">
        <v>247</v>
      </c>
      <c r="G192" s="411" t="s">
        <v>248</v>
      </c>
      <c r="H192" s="413" t="s">
        <v>249</v>
      </c>
      <c r="I192" s="412" t="s">
        <v>250</v>
      </c>
      <c r="J192" s="414"/>
      <c r="K192" s="494" t="s">
        <v>59</v>
      </c>
      <c r="L192" s="495"/>
      <c r="M192" s="494" t="s">
        <v>60</v>
      </c>
      <c r="N192" s="174"/>
      <c r="O192" s="197"/>
      <c r="P192" s="197"/>
      <c r="Q192" s="197"/>
      <c r="R192" s="197"/>
      <c r="S192" s="197"/>
      <c r="T192" s="197"/>
      <c r="U192" s="197"/>
      <c r="V192" s="197"/>
      <c r="W192" s="197"/>
      <c r="X192" s="197"/>
      <c r="Y192" s="174"/>
      <c r="Z192" s="176"/>
    </row>
    <row r="193" spans="2:34" s="5" customFormat="1" ht="18" hidden="1" customHeight="1" outlineLevel="1" thickBot="1">
      <c r="B193" s="36"/>
      <c r="C193" s="37" t="s">
        <v>20</v>
      </c>
      <c r="D193" s="51" t="s">
        <v>251</v>
      </c>
      <c r="E193" s="180"/>
      <c r="F193" s="72">
        <v>1500</v>
      </c>
      <c r="G193" s="72">
        <f>F193*E193</f>
        <v>0</v>
      </c>
      <c r="H193" s="94">
        <f>0.5*G193</f>
        <v>0</v>
      </c>
      <c r="I193" s="58">
        <f>1*G193</f>
        <v>0</v>
      </c>
      <c r="J193" s="62"/>
      <c r="K193" s="496">
        <f>H193+I193</f>
        <v>0</v>
      </c>
      <c r="L193" s="497"/>
      <c r="M193" s="494" t="s">
        <v>60</v>
      </c>
      <c r="N193" s="192" t="s">
        <v>252</v>
      </c>
      <c r="O193" s="192" t="s">
        <v>253</v>
      </c>
      <c r="P193" s="192"/>
      <c r="Q193" s="192"/>
      <c r="R193" s="192"/>
      <c r="S193" s="192"/>
      <c r="T193" s="192"/>
      <c r="U193" s="192"/>
      <c r="V193" s="192"/>
      <c r="W193" s="192"/>
      <c r="X193" s="192"/>
      <c r="Y193" s="192"/>
      <c r="Z193" s="196"/>
    </row>
    <row r="194" spans="2:34" s="5" customFormat="1" ht="18" hidden="1" customHeight="1" outlineLevel="1" thickBot="1">
      <c r="B194" s="38"/>
      <c r="C194" s="39" t="s">
        <v>23</v>
      </c>
      <c r="D194" s="49" t="s">
        <v>254</v>
      </c>
      <c r="E194" s="181"/>
      <c r="F194" s="76">
        <v>1500</v>
      </c>
      <c r="G194" s="119">
        <f>F194*E194</f>
        <v>0</v>
      </c>
      <c r="H194" s="71">
        <f>0.07*G194</f>
        <v>0</v>
      </c>
      <c r="I194" s="59">
        <f>0.2*G194</f>
        <v>0</v>
      </c>
      <c r="J194" s="63"/>
      <c r="K194" s="496">
        <f>H194+I194</f>
        <v>0</v>
      </c>
      <c r="L194" s="497"/>
      <c r="M194" s="494" t="s">
        <v>60</v>
      </c>
      <c r="N194" s="193" t="s">
        <v>255</v>
      </c>
      <c r="O194" s="193" t="s">
        <v>256</v>
      </c>
      <c r="P194" s="193"/>
      <c r="Q194" s="193"/>
      <c r="R194" s="193"/>
      <c r="S194" s="193"/>
      <c r="T194" s="193"/>
      <c r="U194" s="193"/>
      <c r="V194" s="193"/>
      <c r="W194" s="193"/>
      <c r="X194" s="193"/>
      <c r="Y194" s="193"/>
      <c r="Z194" s="194"/>
    </row>
    <row r="195" spans="2:34" s="5" customFormat="1" ht="18" hidden="1" customHeight="1" outlineLevel="1">
      <c r="B195" s="97"/>
      <c r="C195" s="10"/>
      <c r="D195" s="120"/>
      <c r="E195" s="142"/>
      <c r="F195" s="121"/>
      <c r="G195" s="121"/>
      <c r="H195" s="122"/>
      <c r="I195" s="99"/>
      <c r="J195" s="123"/>
      <c r="K195" s="506" t="s">
        <v>111</v>
      </c>
      <c r="L195" s="507"/>
      <c r="M195" s="508" t="s">
        <v>60</v>
      </c>
      <c r="N195" s="147"/>
      <c r="Y195" s="147"/>
      <c r="Z195" s="151"/>
    </row>
    <row r="196" spans="2:34" s="5" customFormat="1" ht="18" customHeight="1" collapsed="1">
      <c r="B196" s="269">
        <v>5.7</v>
      </c>
      <c r="C196" s="474" t="s">
        <v>257</v>
      </c>
      <c r="D196" s="475"/>
      <c r="E196" s="415" t="s">
        <v>29</v>
      </c>
      <c r="F196" s="416" t="s">
        <v>78</v>
      </c>
      <c r="G196" s="416" t="s">
        <v>197</v>
      </c>
      <c r="H196" s="476" t="s">
        <v>27</v>
      </c>
      <c r="I196" s="477" t="s">
        <v>28</v>
      </c>
      <c r="J196" s="478"/>
      <c r="K196" s="504" t="s">
        <v>59</v>
      </c>
      <c r="L196" s="505"/>
      <c r="M196" s="504" t="s">
        <v>60</v>
      </c>
      <c r="N196" s="271"/>
      <c r="O196" s="270"/>
      <c r="P196" s="270"/>
      <c r="Q196" s="270"/>
      <c r="R196" s="270"/>
      <c r="S196" s="479"/>
      <c r="T196" s="270"/>
      <c r="U196" s="270"/>
      <c r="V196" s="270"/>
      <c r="W196" s="270"/>
      <c r="X196" s="270"/>
      <c r="Y196" s="271"/>
      <c r="Z196" s="272"/>
      <c r="AD196" s="11"/>
    </row>
    <row r="197" spans="2:34" s="5" customFormat="1" ht="18" hidden="1" customHeight="1" outlineLevel="1" thickBot="1">
      <c r="B197" s="68"/>
      <c r="C197" s="69" t="s">
        <v>20</v>
      </c>
      <c r="D197" s="80" t="s">
        <v>258</v>
      </c>
      <c r="E197" s="182">
        <f>H197*I197/10000</f>
        <v>0</v>
      </c>
      <c r="F197" s="81" t="s">
        <v>144</v>
      </c>
      <c r="G197" s="444">
        <v>20000</v>
      </c>
      <c r="H197" s="469"/>
      <c r="I197" s="470"/>
      <c r="J197" s="84"/>
      <c r="K197" s="471">
        <f>E197*G197</f>
        <v>0</v>
      </c>
      <c r="L197" s="472"/>
      <c r="M197" s="473"/>
      <c r="N197" s="195" t="s">
        <v>259</v>
      </c>
      <c r="O197" s="192" t="s">
        <v>260</v>
      </c>
      <c r="P197" s="192"/>
      <c r="Q197" s="192"/>
      <c r="R197" s="192" t="s">
        <v>261</v>
      </c>
      <c r="S197" s="192"/>
      <c r="T197" s="192"/>
      <c r="U197" s="192"/>
      <c r="V197" s="192"/>
      <c r="W197" s="192"/>
      <c r="X197" s="192"/>
      <c r="Y197" s="192"/>
      <c r="Z197" s="196"/>
    </row>
    <row r="198" spans="2:34" s="5" customFormat="1" ht="18" hidden="1" customHeight="1" outlineLevel="1" thickBot="1">
      <c r="B198" s="203"/>
      <c r="C198" s="199" t="s">
        <v>23</v>
      </c>
      <c r="D198" s="253" t="s">
        <v>262</v>
      </c>
      <c r="E198" s="236">
        <f>H198*I198</f>
        <v>0</v>
      </c>
      <c r="F198" s="254" t="s">
        <v>48</v>
      </c>
      <c r="G198" s="450">
        <v>1.1499999999999999</v>
      </c>
      <c r="H198" s="451"/>
      <c r="I198" s="452"/>
      <c r="J198" s="255"/>
      <c r="K198" s="324">
        <f>E198*G198</f>
        <v>0</v>
      </c>
      <c r="L198" s="407"/>
      <c r="M198" s="328"/>
      <c r="N198" s="241" t="s">
        <v>259</v>
      </c>
      <c r="O198" s="242" t="s">
        <v>263</v>
      </c>
      <c r="P198" s="242"/>
      <c r="Q198" s="242"/>
      <c r="R198" s="242"/>
      <c r="S198" s="242"/>
      <c r="T198" s="242"/>
      <c r="U198" s="242"/>
      <c r="V198" s="242"/>
      <c r="W198" s="242"/>
      <c r="X198" s="242"/>
      <c r="Y198" s="242"/>
      <c r="Z198" s="243"/>
    </row>
    <row r="199" spans="2:34" s="5" customFormat="1" ht="18" hidden="1" customHeight="1" outlineLevel="1" thickBot="1">
      <c r="B199" s="259"/>
      <c r="C199" s="260"/>
      <c r="D199" s="264"/>
      <c r="E199" s="237"/>
      <c r="F199" s="265"/>
      <c r="G199" s="238"/>
      <c r="H199" s="229"/>
      <c r="I199" s="237"/>
      <c r="J199" s="266"/>
      <c r="K199" s="267" t="s">
        <v>111</v>
      </c>
      <c r="L199" s="200"/>
      <c r="M199" s="234">
        <f>SUM(K197:M198)</f>
        <v>0</v>
      </c>
      <c r="N199" s="256"/>
      <c r="O199" s="257"/>
      <c r="P199" s="257"/>
      <c r="Q199" s="257"/>
      <c r="R199" s="257"/>
      <c r="S199" s="257"/>
      <c r="T199" s="257"/>
      <c r="U199" s="257"/>
      <c r="V199" s="257"/>
      <c r="W199" s="257"/>
      <c r="X199" s="257"/>
      <c r="Y199" s="257"/>
      <c r="Z199" s="258"/>
    </row>
    <row r="200" spans="2:34" s="5" customFormat="1" ht="18" customHeight="1" collapsed="1">
      <c r="B200" s="10"/>
      <c r="C200" s="10"/>
      <c r="D200" s="120"/>
      <c r="E200" s="10"/>
      <c r="F200" s="209"/>
      <c r="G200" s="123"/>
      <c r="H200" s="10"/>
      <c r="I200" s="10"/>
      <c r="J200" s="123"/>
      <c r="K200" s="123"/>
    </row>
    <row r="201" spans="2:34" s="185" customFormat="1" ht="36.75" customHeight="1">
      <c r="B201" s="562" t="s">
        <v>264</v>
      </c>
      <c r="C201" s="563"/>
      <c r="D201" s="563"/>
      <c r="E201" s="563"/>
      <c r="F201" s="563"/>
      <c r="G201" s="563"/>
      <c r="H201" s="563"/>
      <c r="I201" s="563"/>
      <c r="J201" s="563"/>
      <c r="K201" s="565"/>
      <c r="L201" s="565"/>
      <c r="M201" s="566"/>
      <c r="N201" s="562" t="s">
        <v>13</v>
      </c>
      <c r="O201" s="563"/>
      <c r="P201" s="563"/>
      <c r="Q201" s="563"/>
      <c r="R201" s="563"/>
      <c r="S201" s="563"/>
      <c r="T201" s="563"/>
      <c r="U201" s="563"/>
      <c r="V201" s="563"/>
      <c r="W201" s="563"/>
      <c r="X201" s="563"/>
      <c r="Y201" s="563"/>
      <c r="Z201" s="564"/>
      <c r="AA201" s="183"/>
      <c r="AB201" s="183"/>
      <c r="AC201" s="183"/>
      <c r="AD201" s="183"/>
      <c r="AE201" s="183"/>
      <c r="AF201" s="183"/>
      <c r="AG201" s="184"/>
      <c r="AH201" s="184"/>
    </row>
    <row r="202" spans="2:34" s="5" customFormat="1" ht="35.25" customHeight="1">
      <c r="B202" s="160">
        <v>6.1</v>
      </c>
      <c r="C202" s="586" t="s">
        <v>265</v>
      </c>
      <c r="D202" s="585"/>
      <c r="E202" s="390" t="s">
        <v>29</v>
      </c>
      <c r="F202" s="453" t="s">
        <v>266</v>
      </c>
      <c r="G202" s="374" t="s">
        <v>78</v>
      </c>
      <c r="H202" s="383" t="s">
        <v>267</v>
      </c>
      <c r="I202" s="374" t="s">
        <v>268</v>
      </c>
      <c r="J202" s="377" t="s">
        <v>269</v>
      </c>
      <c r="K202" s="494" t="s">
        <v>59</v>
      </c>
      <c r="L202" s="495"/>
      <c r="M202" s="494" t="s">
        <v>60</v>
      </c>
      <c r="N202" s="174"/>
      <c r="O202" s="197"/>
      <c r="P202" s="197"/>
      <c r="Q202" s="197"/>
      <c r="R202" s="197"/>
      <c r="S202" s="197"/>
      <c r="T202" s="197"/>
      <c r="U202" s="197"/>
      <c r="V202" s="197"/>
      <c r="W202" s="197"/>
      <c r="X202" s="197"/>
      <c r="Y202" s="174"/>
      <c r="Z202" s="176"/>
    </row>
    <row r="203" spans="2:34" s="5" customFormat="1" ht="18" hidden="1" customHeight="1" outlineLevel="1" thickBot="1">
      <c r="B203" s="36"/>
      <c r="C203" s="37" t="s">
        <v>20</v>
      </c>
      <c r="D203" s="44" t="s">
        <v>270</v>
      </c>
      <c r="E203" s="293"/>
      <c r="F203" s="294"/>
      <c r="G203" s="388" t="s">
        <v>99</v>
      </c>
      <c r="H203" s="94">
        <v>1600</v>
      </c>
      <c r="I203" s="58">
        <v>100</v>
      </c>
      <c r="J203" s="62">
        <v>1500</v>
      </c>
      <c r="K203" s="496">
        <f>(E203*H203)*F203</f>
        <v>0</v>
      </c>
      <c r="L203" s="497"/>
      <c r="M203" s="494" t="s">
        <v>60</v>
      </c>
      <c r="N203" s="192" t="s">
        <v>193</v>
      </c>
      <c r="O203" s="192" t="s">
        <v>271</v>
      </c>
      <c r="P203" s="192"/>
      <c r="Q203" s="192"/>
      <c r="R203" s="192"/>
      <c r="S203" s="192"/>
      <c r="T203" s="192"/>
      <c r="U203" s="192"/>
      <c r="V203" s="192"/>
      <c r="W203" s="192"/>
      <c r="X203" s="192"/>
      <c r="Y203" s="192"/>
      <c r="Z203" s="196"/>
    </row>
    <row r="204" spans="2:34" s="5" customFormat="1" ht="18" hidden="1" customHeight="1" outlineLevel="1" thickBot="1">
      <c r="B204" s="38"/>
      <c r="C204" s="39" t="s">
        <v>23</v>
      </c>
      <c r="D204" s="45" t="s">
        <v>272</v>
      </c>
      <c r="E204" s="454"/>
      <c r="F204" s="455"/>
      <c r="G204" s="107" t="s">
        <v>99</v>
      </c>
      <c r="H204" s="71">
        <v>1600</v>
      </c>
      <c r="I204" s="59">
        <v>100</v>
      </c>
      <c r="J204" s="63">
        <v>1500</v>
      </c>
      <c r="K204" s="496">
        <f>(E204*H204)*F204</f>
        <v>0</v>
      </c>
      <c r="L204" s="497"/>
      <c r="M204" s="494" t="s">
        <v>60</v>
      </c>
      <c r="N204" s="193" t="s">
        <v>193</v>
      </c>
      <c r="O204" s="193" t="s">
        <v>273</v>
      </c>
      <c r="P204" s="193"/>
      <c r="Q204" s="193"/>
      <c r="R204" s="193"/>
      <c r="S204" s="193"/>
      <c r="T204" s="193"/>
      <c r="U204" s="193"/>
      <c r="V204" s="193"/>
      <c r="W204" s="193"/>
      <c r="X204" s="193"/>
      <c r="Y204" s="193"/>
      <c r="Z204" s="194"/>
    </row>
    <row r="205" spans="2:34" s="5" customFormat="1" ht="18" hidden="1" customHeight="1" outlineLevel="1" thickBot="1">
      <c r="B205" s="38"/>
      <c r="C205" s="39" t="s">
        <v>39</v>
      </c>
      <c r="D205" s="45" t="s">
        <v>274</v>
      </c>
      <c r="E205" s="295"/>
      <c r="F205" s="296"/>
      <c r="G205" s="107" t="s">
        <v>99</v>
      </c>
      <c r="H205" s="71">
        <f>I205+J205</f>
        <v>2000</v>
      </c>
      <c r="I205" s="59">
        <v>500</v>
      </c>
      <c r="J205" s="63">
        <v>1500</v>
      </c>
      <c r="K205" s="496">
        <f>((E205*I205)+J205)*F205</f>
        <v>0</v>
      </c>
      <c r="L205" s="497"/>
      <c r="M205" s="494" t="s">
        <v>60</v>
      </c>
      <c r="N205" s="193" t="s">
        <v>193</v>
      </c>
      <c r="O205" s="193" t="s">
        <v>275</v>
      </c>
      <c r="P205" s="193"/>
      <c r="Q205" s="193"/>
      <c r="R205" s="193"/>
      <c r="S205" s="193"/>
      <c r="T205" s="193"/>
      <c r="U205" s="193"/>
      <c r="V205" s="193"/>
      <c r="W205" s="193"/>
      <c r="X205" s="193"/>
      <c r="Y205" s="193"/>
      <c r="Z205" s="194"/>
    </row>
    <row r="206" spans="2:34" s="5" customFormat="1" ht="18" hidden="1" customHeight="1" outlineLevel="1">
      <c r="B206" s="40"/>
      <c r="C206" s="41"/>
      <c r="D206" s="46"/>
      <c r="E206" s="128"/>
      <c r="F206" s="128"/>
      <c r="G206" s="53"/>
      <c r="H206" s="90"/>
      <c r="I206" s="60"/>
      <c r="J206" s="65"/>
      <c r="K206" s="509" t="s">
        <v>111</v>
      </c>
      <c r="L206" s="507"/>
      <c r="M206" s="508" t="s">
        <v>60</v>
      </c>
      <c r="N206" s="147"/>
      <c r="Y206" s="147"/>
      <c r="Z206" s="151"/>
    </row>
    <row r="207" spans="2:34" s="5" customFormat="1" ht="18" customHeight="1" collapsed="1">
      <c r="B207" s="160">
        <v>6.2</v>
      </c>
      <c r="C207" s="586" t="s">
        <v>276</v>
      </c>
      <c r="D207" s="585"/>
      <c r="E207" s="390" t="s">
        <v>29</v>
      </c>
      <c r="F207" s="374" t="s">
        <v>78</v>
      </c>
      <c r="G207" s="374" t="s">
        <v>102</v>
      </c>
      <c r="H207" s="375"/>
      <c r="I207" s="373"/>
      <c r="J207" s="377"/>
      <c r="K207" s="494" t="s">
        <v>59</v>
      </c>
      <c r="L207" s="495"/>
      <c r="M207" s="494" t="s">
        <v>60</v>
      </c>
      <c r="N207" s="174"/>
      <c r="O207" s="197"/>
      <c r="P207" s="197"/>
      <c r="Q207" s="197"/>
      <c r="R207" s="197"/>
      <c r="S207" s="197"/>
      <c r="T207" s="197"/>
      <c r="U207" s="197"/>
      <c r="V207" s="197"/>
      <c r="W207" s="197"/>
      <c r="X207" s="197"/>
      <c r="Y207" s="174"/>
      <c r="Z207" s="176"/>
    </row>
    <row r="208" spans="2:34" s="5" customFormat="1" ht="18" hidden="1" customHeight="1" outlineLevel="1" thickBot="1">
      <c r="B208" s="38"/>
      <c r="C208" s="39" t="s">
        <v>20</v>
      </c>
      <c r="D208" s="45" t="s">
        <v>277</v>
      </c>
      <c r="E208" s="391"/>
      <c r="F208" s="107" t="s">
        <v>278</v>
      </c>
      <c r="G208" s="59">
        <v>7500</v>
      </c>
      <c r="H208" s="78"/>
      <c r="I208" s="13"/>
      <c r="J208" s="78"/>
      <c r="K208" s="496">
        <f t="shared" ref="K208:K212" si="7">E208*G208</f>
        <v>0</v>
      </c>
      <c r="L208" s="497"/>
      <c r="M208" s="494" t="s">
        <v>60</v>
      </c>
      <c r="N208" s="192" t="s">
        <v>193</v>
      </c>
      <c r="O208" s="192" t="s">
        <v>279</v>
      </c>
      <c r="P208" s="192"/>
      <c r="Q208" s="192"/>
      <c r="R208" s="192"/>
      <c r="S208" s="192"/>
      <c r="T208" s="192"/>
      <c r="U208" s="192"/>
      <c r="V208" s="192"/>
      <c r="W208" s="192"/>
      <c r="X208" s="192"/>
      <c r="Y208" s="192"/>
      <c r="Z208" s="196"/>
    </row>
    <row r="209" spans="2:26" s="5" customFormat="1" ht="18" hidden="1" customHeight="1" outlineLevel="1" thickBot="1">
      <c r="B209" s="38"/>
      <c r="C209" s="39" t="s">
        <v>23</v>
      </c>
      <c r="D209" s="45" t="s">
        <v>280</v>
      </c>
      <c r="E209" s="392"/>
      <c r="F209" s="107" t="s">
        <v>278</v>
      </c>
      <c r="G209" s="59">
        <v>7500</v>
      </c>
      <c r="H209" s="78"/>
      <c r="I209" s="13"/>
      <c r="J209" s="78"/>
      <c r="K209" s="496">
        <f t="shared" si="7"/>
        <v>0</v>
      </c>
      <c r="L209" s="497"/>
      <c r="M209" s="494" t="s">
        <v>60</v>
      </c>
      <c r="N209" s="193" t="s">
        <v>193</v>
      </c>
      <c r="O209" s="193" t="s">
        <v>281</v>
      </c>
      <c r="P209" s="193"/>
      <c r="Q209" s="193"/>
      <c r="R209" s="193"/>
      <c r="S209" s="193"/>
      <c r="T209" s="193"/>
      <c r="U209" s="193"/>
      <c r="V209" s="193"/>
      <c r="W209" s="193"/>
      <c r="X209" s="193"/>
      <c r="Y209" s="193"/>
      <c r="Z209" s="194"/>
    </row>
    <row r="210" spans="2:26" s="5" customFormat="1" ht="18" hidden="1" customHeight="1" outlineLevel="1" thickBot="1">
      <c r="B210" s="38"/>
      <c r="C210" s="39" t="s">
        <v>39</v>
      </c>
      <c r="D210" s="45" t="s">
        <v>282</v>
      </c>
      <c r="E210" s="392"/>
      <c r="F210" s="107" t="s">
        <v>278</v>
      </c>
      <c r="G210" s="59">
        <v>15000</v>
      </c>
      <c r="H210" s="78"/>
      <c r="I210" s="96"/>
      <c r="J210" s="78"/>
      <c r="K210" s="496">
        <f t="shared" si="7"/>
        <v>0</v>
      </c>
      <c r="L210" s="497"/>
      <c r="M210" s="494" t="s">
        <v>60</v>
      </c>
      <c r="N210" s="193" t="s">
        <v>193</v>
      </c>
      <c r="O210" s="193" t="s">
        <v>283</v>
      </c>
      <c r="P210" s="193"/>
      <c r="Q210" s="193"/>
      <c r="R210" s="193"/>
      <c r="S210" s="193"/>
      <c r="T210" s="193"/>
      <c r="U210" s="193"/>
      <c r="V210" s="193"/>
      <c r="W210" s="193"/>
      <c r="X210" s="193"/>
      <c r="Y210" s="193"/>
      <c r="Z210" s="194"/>
    </row>
    <row r="211" spans="2:26" s="5" customFormat="1" ht="18" hidden="1" customHeight="1" outlineLevel="1" thickBot="1">
      <c r="B211" s="38"/>
      <c r="C211" s="39" t="s">
        <v>109</v>
      </c>
      <c r="D211" s="45" t="s">
        <v>284</v>
      </c>
      <c r="E211" s="392"/>
      <c r="F211" s="107" t="s">
        <v>278</v>
      </c>
      <c r="G211" s="59">
        <v>30000</v>
      </c>
      <c r="H211" s="71"/>
      <c r="I211" s="59"/>
      <c r="J211" s="63"/>
      <c r="K211" s="496">
        <f t="shared" si="7"/>
        <v>0</v>
      </c>
      <c r="L211" s="497"/>
      <c r="M211" s="494" t="s">
        <v>60</v>
      </c>
      <c r="N211" s="193" t="s">
        <v>193</v>
      </c>
      <c r="O211" s="193" t="s">
        <v>283</v>
      </c>
      <c r="P211" s="193"/>
      <c r="Q211" s="193"/>
      <c r="R211" s="193"/>
      <c r="S211" s="193"/>
      <c r="T211" s="193"/>
      <c r="U211" s="193"/>
      <c r="V211" s="193"/>
      <c r="W211" s="193"/>
      <c r="X211" s="193"/>
      <c r="Y211" s="193"/>
      <c r="Z211" s="194"/>
    </row>
    <row r="212" spans="2:26" s="5" customFormat="1" ht="18" hidden="1" customHeight="1" outlineLevel="1" thickBot="1">
      <c r="B212" s="38"/>
      <c r="C212" s="39" t="s">
        <v>112</v>
      </c>
      <c r="D212" s="45" t="s">
        <v>285</v>
      </c>
      <c r="E212" s="399"/>
      <c r="F212" s="107" t="s">
        <v>278</v>
      </c>
      <c r="G212" s="59">
        <v>5000</v>
      </c>
      <c r="H212" s="63"/>
      <c r="I212" s="59"/>
      <c r="J212" s="63"/>
      <c r="K212" s="496">
        <f t="shared" si="7"/>
        <v>0</v>
      </c>
      <c r="L212" s="497"/>
      <c r="M212" s="494" t="s">
        <v>60</v>
      </c>
      <c r="N212" s="193" t="s">
        <v>193</v>
      </c>
      <c r="O212" s="193" t="s">
        <v>286</v>
      </c>
      <c r="P212" s="193"/>
      <c r="Q212" s="193"/>
      <c r="R212" s="193"/>
      <c r="S212" s="193"/>
      <c r="T212" s="193"/>
      <c r="U212" s="193"/>
      <c r="V212" s="193"/>
      <c r="W212" s="193"/>
      <c r="X212" s="193"/>
      <c r="Y212" s="193"/>
      <c r="Z212" s="194"/>
    </row>
    <row r="213" spans="2:26" s="5" customFormat="1" ht="18" hidden="1" customHeight="1" outlineLevel="1">
      <c r="B213" s="135"/>
      <c r="C213" s="136"/>
      <c r="D213" s="137"/>
      <c r="E213" s="128"/>
      <c r="F213" s="128"/>
      <c r="G213" s="128"/>
      <c r="H213" s="129"/>
      <c r="I213" s="138"/>
      <c r="J213" s="129"/>
      <c r="K213" s="501" t="s">
        <v>111</v>
      </c>
      <c r="L213" s="497"/>
      <c r="M213" s="494" t="s">
        <v>60</v>
      </c>
      <c r="N213" s="147"/>
      <c r="Y213" s="147"/>
      <c r="Z213" s="151"/>
    </row>
    <row r="214" spans="2:26" s="5" customFormat="1" ht="18" customHeight="1" collapsed="1">
      <c r="B214" s="269">
        <v>6.3</v>
      </c>
      <c r="C214" s="582" t="s">
        <v>287</v>
      </c>
      <c r="D214" s="583"/>
      <c r="E214" s="415" t="s">
        <v>29</v>
      </c>
      <c r="F214" s="416" t="s">
        <v>78</v>
      </c>
      <c r="G214" s="416" t="s">
        <v>102</v>
      </c>
      <c r="H214" s="417"/>
      <c r="I214" s="415"/>
      <c r="J214" s="418"/>
      <c r="K214" s="504" t="s">
        <v>59</v>
      </c>
      <c r="L214" s="505"/>
      <c r="M214" s="504" t="s">
        <v>60</v>
      </c>
      <c r="N214" s="271"/>
      <c r="O214" s="270"/>
      <c r="P214" s="270"/>
      <c r="Q214" s="270"/>
      <c r="R214" s="270"/>
      <c r="S214" s="270"/>
      <c r="T214" s="270"/>
      <c r="U214" s="270"/>
      <c r="V214" s="270"/>
      <c r="W214" s="270"/>
      <c r="X214" s="270"/>
      <c r="Y214" s="271"/>
      <c r="Z214" s="272"/>
    </row>
    <row r="215" spans="2:26" s="5" customFormat="1" ht="18" hidden="1" customHeight="1" outlineLevel="1" thickBot="1">
      <c r="B215" s="68"/>
      <c r="C215" s="69" t="s">
        <v>20</v>
      </c>
      <c r="D215" s="154" t="s">
        <v>288</v>
      </c>
      <c r="E215" s="182"/>
      <c r="F215" s="86" t="s">
        <v>99</v>
      </c>
      <c r="G215" s="82">
        <v>200</v>
      </c>
      <c r="H215" s="87"/>
      <c r="I215" s="86"/>
      <c r="J215" s="87"/>
      <c r="K215" s="83">
        <f>E215*G215</f>
        <v>0</v>
      </c>
      <c r="L215" s="126"/>
      <c r="M215" s="189"/>
      <c r="N215" s="195" t="s">
        <v>193</v>
      </c>
      <c r="O215" s="192"/>
      <c r="P215" s="192"/>
      <c r="Q215" s="192"/>
      <c r="R215" s="192"/>
      <c r="S215" s="192"/>
      <c r="T215" s="192"/>
      <c r="U215" s="192"/>
      <c r="V215" s="192"/>
      <c r="W215" s="192"/>
      <c r="X215" s="192"/>
      <c r="Y215" s="192"/>
      <c r="Z215" s="196"/>
    </row>
    <row r="216" spans="2:26" s="5" customFormat="1" ht="18" hidden="1" customHeight="1" outlineLevel="1" thickBot="1">
      <c r="B216" s="38"/>
      <c r="C216" s="39" t="s">
        <v>23</v>
      </c>
      <c r="D216" s="45" t="s">
        <v>289</v>
      </c>
      <c r="E216" s="181"/>
      <c r="F216" s="13" t="s">
        <v>156</v>
      </c>
      <c r="G216" s="75">
        <v>1.05</v>
      </c>
      <c r="H216" s="78"/>
      <c r="I216" s="86"/>
      <c r="J216" s="78"/>
      <c r="K216" s="66">
        <f>E216*G216</f>
        <v>0</v>
      </c>
      <c r="L216" s="126"/>
      <c r="M216" s="188"/>
      <c r="N216" s="191" t="s">
        <v>193</v>
      </c>
      <c r="O216" s="193"/>
      <c r="P216" s="193"/>
      <c r="Q216" s="193"/>
      <c r="R216" s="193"/>
      <c r="S216" s="193"/>
      <c r="T216" s="193"/>
      <c r="U216" s="193"/>
      <c r="V216" s="193"/>
      <c r="W216" s="193"/>
      <c r="X216" s="193"/>
      <c r="Y216" s="193"/>
      <c r="Z216" s="194"/>
    </row>
    <row r="217" spans="2:26" s="5" customFormat="1" ht="18" hidden="1" customHeight="1" outlineLevel="1" thickBot="1">
      <c r="B217" s="38"/>
      <c r="C217" s="39" t="s">
        <v>39</v>
      </c>
      <c r="D217" s="45" t="s">
        <v>290</v>
      </c>
      <c r="E217" s="181"/>
      <c r="F217" s="13" t="s">
        <v>212</v>
      </c>
      <c r="G217" s="59">
        <v>2100</v>
      </c>
      <c r="H217" s="78"/>
      <c r="I217" s="86"/>
      <c r="J217" s="78"/>
      <c r="K217" s="66">
        <f>E217*G217</f>
        <v>0</v>
      </c>
      <c r="L217" s="126"/>
      <c r="M217" s="188"/>
      <c r="N217" s="191" t="s">
        <v>259</v>
      </c>
      <c r="O217" s="193" t="s">
        <v>291</v>
      </c>
      <c r="P217" s="193"/>
      <c r="Q217" s="193"/>
      <c r="R217" s="193"/>
      <c r="S217" s="193"/>
      <c r="T217" s="193"/>
      <c r="U217" s="193"/>
      <c r="V217" s="193"/>
      <c r="W217" s="193"/>
      <c r="X217" s="193"/>
      <c r="Y217" s="193"/>
      <c r="Z217" s="194"/>
    </row>
    <row r="218" spans="2:26" s="5" customFormat="1" ht="18" hidden="1" customHeight="1" outlineLevel="1" thickBot="1">
      <c r="B218" s="15"/>
      <c r="C218" s="229" t="s">
        <v>109</v>
      </c>
      <c r="D218" s="235" t="s">
        <v>292</v>
      </c>
      <c r="E218" s="236"/>
      <c r="F218" s="237" t="s">
        <v>156</v>
      </c>
      <c r="G218" s="238">
        <v>550</v>
      </c>
      <c r="H218" s="229"/>
      <c r="I218" s="237"/>
      <c r="J218" s="229"/>
      <c r="K218" s="239">
        <f>E218*G218</f>
        <v>0</v>
      </c>
      <c r="L218" s="200"/>
      <c r="M218" s="240"/>
      <c r="N218" s="241" t="s">
        <v>259</v>
      </c>
      <c r="O218" s="242"/>
      <c r="P218" s="242"/>
      <c r="Q218" s="242"/>
      <c r="R218" s="242"/>
      <c r="S218" s="242"/>
      <c r="T218" s="242"/>
      <c r="U218" s="242"/>
      <c r="V218" s="242"/>
      <c r="W218" s="242"/>
      <c r="X218" s="242"/>
      <c r="Y218" s="242"/>
      <c r="Z218" s="243"/>
    </row>
    <row r="219" spans="2:26" ht="18" hidden="1" customHeight="1" outlineLevel="1" thickBot="1">
      <c r="B219" s="244"/>
      <c r="C219" s="245"/>
      <c r="D219" s="246"/>
      <c r="E219" s="245"/>
      <c r="F219" s="245"/>
      <c r="G219" s="247"/>
      <c r="H219" s="247"/>
      <c r="I219" s="248"/>
      <c r="J219" s="248"/>
      <c r="K219" s="251" t="s">
        <v>111</v>
      </c>
      <c r="L219" s="200"/>
      <c r="M219" s="234">
        <f>SUM(K215:M218)</f>
        <v>0</v>
      </c>
      <c r="N219" s="249"/>
      <c r="O219" s="245"/>
      <c r="P219" s="245"/>
      <c r="Q219" s="245"/>
      <c r="R219" s="245"/>
      <c r="S219" s="245"/>
      <c r="T219" s="245"/>
      <c r="U219" s="245"/>
      <c r="V219" s="245"/>
      <c r="W219" s="245"/>
      <c r="X219" s="245"/>
      <c r="Y219" s="245"/>
      <c r="Z219" s="250"/>
    </row>
    <row r="220" spans="2:26" collapsed="1"/>
  </sheetData>
  <protectedRanges>
    <protectedRange sqref="E215:E218 M215:M218" name="Range31"/>
    <protectedRange sqref="E203:F205" name="Range29"/>
    <protectedRange sqref="E183:E190" name="Range27"/>
    <protectedRange sqref="E164:E166 H164:J165 M164:M166 M97:M99" name="Range25"/>
    <protectedRange sqref="E154:E155 H154:I155 M154:M155" name="Range22"/>
    <protectedRange sqref="E115:E119 H115:J117 M115:M121" name="Range20"/>
    <protectedRange sqref="E91:E107 M102:M107" name="Range18"/>
    <protectedRange sqref="E46 E48:E49" name="Range16"/>
    <protectedRange sqref="E33:G35" name="Range14"/>
    <protectedRange sqref="E17:E18" name="Range12"/>
    <protectedRange sqref="E7:M13" name="Range10"/>
    <protectedRange sqref="E17:E18" name="Range8"/>
    <protectedRange sqref="M41:M43 M48 M52:M54 M56:M58 M60:M62 M86" name="Range6"/>
    <protectedRange sqref="E7:M13" name="Range1"/>
    <protectedRange sqref="E26:G26 E29:G29" name="Range2"/>
    <protectedRange sqref="E33:G35" name="Range3"/>
    <protectedRange sqref="E39" name="Range4"/>
    <protectedRange sqref="E41:E44 E46:E49" name="Range5"/>
    <protectedRange sqref="N7:Z214" name="Range7"/>
    <protectedRange sqref="I17:K17" name="Range9"/>
    <protectedRange sqref="N1:Z214" name="Range11"/>
    <protectedRange sqref="F21:G31 H24:H25" name="Range13"/>
    <protectedRange sqref="E39 E41:E44" name="Range15"/>
    <protectedRange sqref="M41:M44 M48:M49 M52:M62 M86" name="Range17"/>
    <protectedRange sqref="E110:E112 M110:M112" name="Range19"/>
    <protectedRange sqref="E125:E149 M125:M149" name="Range21"/>
    <protectedRange sqref="E158:E160 H158:I160 M158:M160 M91:M93" name="Range23"/>
    <protectedRange sqref="E158:E160 H158:I160 M158:M160 M91:M93" name="Range24"/>
    <protectedRange sqref="E170:E179 M170:M179" name="Range26"/>
    <protectedRange sqref="E193:E194" name="Range28"/>
    <protectedRange sqref="E208:E212" name="Range30"/>
  </protectedRanges>
  <mergeCells count="65">
    <mergeCell ref="B5:D5"/>
    <mergeCell ref="C214:D214"/>
    <mergeCell ref="C90:D90"/>
    <mergeCell ref="C181:D181"/>
    <mergeCell ref="C202:D202"/>
    <mergeCell ref="C207:D207"/>
    <mergeCell ref="C114:D114"/>
    <mergeCell ref="C153:D153"/>
    <mergeCell ref="C123:D123"/>
    <mergeCell ref="B152:M152"/>
    <mergeCell ref="N7:Z7"/>
    <mergeCell ref="N89:Z89"/>
    <mergeCell ref="E11:M11"/>
    <mergeCell ref="B89:M89"/>
    <mergeCell ref="E7:M7"/>
    <mergeCell ref="E8:M8"/>
    <mergeCell ref="E9:M9"/>
    <mergeCell ref="B15:M15"/>
    <mergeCell ref="N15:Z15"/>
    <mergeCell ref="C16:D16"/>
    <mergeCell ref="C19:D19"/>
    <mergeCell ref="C32:D32"/>
    <mergeCell ref="N16:Z16"/>
    <mergeCell ref="N19:Z19"/>
    <mergeCell ref="N32:Z32"/>
    <mergeCell ref="N17:Z18"/>
    <mergeCell ref="N152:Z152"/>
    <mergeCell ref="B201:M201"/>
    <mergeCell ref="N201:Z201"/>
    <mergeCell ref="B37:M37"/>
    <mergeCell ref="N37:Z37"/>
    <mergeCell ref="C38:D38"/>
    <mergeCell ref="N38:Z38"/>
    <mergeCell ref="C50:D50"/>
    <mergeCell ref="N50:Z50"/>
    <mergeCell ref="N49:Z49"/>
    <mergeCell ref="N46:Z48"/>
    <mergeCell ref="N39:Z44"/>
    <mergeCell ref="N124:Z149"/>
    <mergeCell ref="N51:Z62"/>
    <mergeCell ref="B68:M68"/>
    <mergeCell ref="N68:Z68"/>
    <mergeCell ref="N20:Z31"/>
    <mergeCell ref="N33:Z33"/>
    <mergeCell ref="N34:Z34"/>
    <mergeCell ref="N35:Z35"/>
    <mergeCell ref="N36:Z36"/>
    <mergeCell ref="N110:Z113"/>
    <mergeCell ref="N115:Z122"/>
    <mergeCell ref="C69:D69"/>
    <mergeCell ref="N69:Z69"/>
    <mergeCell ref="C85:D85"/>
    <mergeCell ref="N91:Z108"/>
    <mergeCell ref="N70:Z86"/>
    <mergeCell ref="H111:J111"/>
    <mergeCell ref="E10:M10"/>
    <mergeCell ref="B10:D10"/>
    <mergeCell ref="B9:D9"/>
    <mergeCell ref="N8:Z13"/>
    <mergeCell ref="B8:D8"/>
    <mergeCell ref="E13:M13"/>
    <mergeCell ref="B13:D13"/>
    <mergeCell ref="E12:M12"/>
    <mergeCell ref="B12:D12"/>
    <mergeCell ref="B11:D11"/>
  </mergeCells>
  <pageMargins left="0.23622047244094491" right="0.23622047244094491" top="0.74803149606299213" bottom="0.74803149606299213" header="0.31496062992125984" footer="0.31496062992125984"/>
  <pageSetup scale="44" fitToHeight="0" orientation="portrait" r:id="rId1"/>
  <headerFooter>
    <oddHeader>&amp;CReclamation Cost Estimate for Security Deposit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F10A-1F26-4595-99E8-923F3AE3CBEC}">
  <sheetPr>
    <tabColor theme="3"/>
  </sheetPr>
  <dimension ref="A1:R32"/>
  <sheetViews>
    <sheetView zoomScaleNormal="100" workbookViewId="0">
      <selection activeCell="Q17" sqref="Q17"/>
    </sheetView>
  </sheetViews>
  <sheetFormatPr defaultRowHeight="15"/>
  <cols>
    <col min="1" max="1" width="5.85546875" customWidth="1"/>
    <col min="10" max="10" width="9.140625" customWidth="1"/>
    <col min="11" max="11" width="2.85546875" customWidth="1"/>
  </cols>
  <sheetData>
    <row r="1" spans="1:18" s="268" customFormat="1" ht="36.75" customHeight="1" thickBot="1">
      <c r="A1" s="595" t="s">
        <v>293</v>
      </c>
      <c r="B1" s="596"/>
      <c r="C1" s="596"/>
      <c r="D1" s="596"/>
      <c r="E1" s="596"/>
      <c r="F1" s="596"/>
      <c r="G1" s="596"/>
      <c r="H1" s="596"/>
      <c r="I1" s="596"/>
      <c r="J1" s="597"/>
    </row>
    <row r="2" spans="1:18" s="20" customFormat="1">
      <c r="A2" s="289" t="s">
        <v>294</v>
      </c>
      <c r="B2" s="290"/>
      <c r="C2" s="290"/>
      <c r="D2" s="290"/>
      <c r="E2" s="290"/>
      <c r="F2" s="290" t="s">
        <v>295</v>
      </c>
      <c r="G2" s="290"/>
      <c r="H2" s="290"/>
      <c r="I2" s="290"/>
      <c r="J2" s="481"/>
    </row>
    <row r="3" spans="1:18">
      <c r="A3" s="275"/>
      <c r="B3" s="1" t="s">
        <v>34</v>
      </c>
      <c r="C3" s="1"/>
      <c r="D3" s="459">
        <f>'Calculation Sheet'!K52+'Calculation Sheet'!K53+'Calculation Sheet'!K54+'Calculation Sheet'!M52+'Calculation Sheet'!M53+'Calculation Sheet'!M54</f>
        <v>0</v>
      </c>
      <c r="E3" s="3"/>
      <c r="F3" s="5" t="s">
        <v>34</v>
      </c>
      <c r="G3" s="1"/>
      <c r="H3" s="1"/>
      <c r="I3" s="1">
        <f>'Calculation Sheet'!M21</f>
        <v>0</v>
      </c>
      <c r="J3" s="280" t="s">
        <v>144</v>
      </c>
    </row>
    <row r="4" spans="1:18">
      <c r="A4" s="275"/>
      <c r="B4" s="1" t="s">
        <v>38</v>
      </c>
      <c r="C4" s="1"/>
      <c r="D4" s="459">
        <f>'Calculation Sheet'!K56+'Calculation Sheet'!K57+'Calculation Sheet'!K58+'Calculation Sheet'!M56+'Calculation Sheet'!M57+'Calculation Sheet'!M58</f>
        <v>0</v>
      </c>
      <c r="E4" s="3"/>
      <c r="F4" s="5" t="s">
        <v>38</v>
      </c>
      <c r="G4" s="1"/>
      <c r="H4" s="1"/>
      <c r="I4" s="1">
        <f>'Calculation Sheet'!M24</f>
        <v>0</v>
      </c>
      <c r="J4" s="280" t="s">
        <v>144</v>
      </c>
    </row>
    <row r="5" spans="1:18" ht="15.75" thickBot="1">
      <c r="A5" s="275"/>
      <c r="B5" s="1" t="s">
        <v>25</v>
      </c>
      <c r="C5" s="1"/>
      <c r="D5" s="460">
        <f>'Calculation Sheet'!K60+'Calculation Sheet'!K61+'Calculation Sheet'!K62+'Calculation Sheet'!M60+'Calculation Sheet'!M61+'Calculation Sheet'!M62</f>
        <v>0</v>
      </c>
      <c r="E5" s="3"/>
      <c r="F5" s="5" t="s">
        <v>40</v>
      </c>
      <c r="G5" s="1"/>
      <c r="H5" s="274"/>
      <c r="I5" s="1">
        <f>'Calculation Sheet'!M27</f>
        <v>0</v>
      </c>
      <c r="J5" s="280" t="s">
        <v>144</v>
      </c>
    </row>
    <row r="6" spans="1:18">
      <c r="A6" s="275"/>
      <c r="B6" s="1"/>
      <c r="C6" s="1"/>
      <c r="D6" s="3">
        <f>SUM(D3:D5)</f>
        <v>0</v>
      </c>
      <c r="E6" s="1"/>
      <c r="F6" s="5"/>
      <c r="G6" s="5"/>
      <c r="H6" s="1"/>
      <c r="I6" s="1"/>
      <c r="J6" s="280"/>
    </row>
    <row r="7" spans="1:18" s="20" customFormat="1">
      <c r="A7" s="273" t="s">
        <v>296</v>
      </c>
      <c r="B7" s="274"/>
      <c r="C7" s="274"/>
      <c r="D7" s="276"/>
      <c r="E7" s="276"/>
      <c r="F7" s="457" t="s">
        <v>297</v>
      </c>
      <c r="G7" s="5"/>
      <c r="H7" s="1"/>
      <c r="I7" s="458">
        <f>'Calculation Sheet'!M71</f>
        <v>0</v>
      </c>
      <c r="J7" s="280" t="s">
        <v>125</v>
      </c>
    </row>
    <row r="8" spans="1:18">
      <c r="A8" s="275"/>
      <c r="B8" s="1" t="s">
        <v>298</v>
      </c>
      <c r="C8" s="1"/>
      <c r="D8" s="459">
        <f>'Calculation Sheet'!K41+'Calculation Sheet'!K42+'Calculation Sheet'!K43+'Calculation Sheet'!M41+'Calculation Sheet'!M42+'Calculation Sheet'!M43+'Calculation Sheet'!M44</f>
        <v>0</v>
      </c>
      <c r="E8" s="3"/>
      <c r="F8" s="274"/>
      <c r="G8" s="274"/>
      <c r="H8" s="274"/>
      <c r="I8" s="1">
        <f>'Calculation Sheet'!K71</f>
        <v>0</v>
      </c>
      <c r="J8" s="280" t="s">
        <v>299</v>
      </c>
    </row>
    <row r="9" spans="1:18">
      <c r="A9" s="275"/>
      <c r="B9" s="1" t="s">
        <v>300</v>
      </c>
      <c r="C9" s="1"/>
      <c r="D9" s="459">
        <f>'Calculation Sheet'!K48+'Calculation Sheet'!M48</f>
        <v>0</v>
      </c>
      <c r="E9" s="3"/>
      <c r="F9" s="1"/>
      <c r="G9" s="1"/>
      <c r="H9" s="1"/>
      <c r="I9" s="1"/>
      <c r="J9" s="280"/>
    </row>
    <row r="10" spans="1:18" ht="15.75" thickBot="1">
      <c r="A10" s="275"/>
      <c r="B10" s="1" t="s">
        <v>73</v>
      </c>
      <c r="C10" s="1"/>
      <c r="D10" s="460">
        <f>'Calculation Sheet'!M49</f>
        <v>0</v>
      </c>
      <c r="E10" s="1"/>
      <c r="F10" s="1"/>
      <c r="G10" s="5"/>
      <c r="H10" s="1"/>
      <c r="I10" s="1"/>
      <c r="J10" s="280"/>
    </row>
    <row r="11" spans="1:18">
      <c r="A11" s="275"/>
      <c r="B11" s="1"/>
      <c r="C11" s="1"/>
      <c r="D11" s="3">
        <f>SUM(D8:D10)</f>
        <v>0</v>
      </c>
      <c r="E11" s="1"/>
      <c r="F11" s="1"/>
      <c r="G11" s="1"/>
      <c r="H11" s="1"/>
      <c r="I11" s="1"/>
      <c r="J11" s="280"/>
      <c r="R11" s="3"/>
    </row>
    <row r="12" spans="1:18" s="20" customFormat="1">
      <c r="A12" s="273" t="s">
        <v>301</v>
      </c>
      <c r="B12" s="274"/>
      <c r="C12" s="274"/>
      <c r="D12" s="276"/>
      <c r="E12" s="276"/>
      <c r="F12" s="274"/>
      <c r="G12" s="274"/>
      <c r="H12" s="274"/>
      <c r="I12" s="274"/>
      <c r="J12" s="279"/>
    </row>
    <row r="13" spans="1:18" ht="15.75" thickBot="1">
      <c r="A13" s="275"/>
      <c r="B13" s="1" t="s">
        <v>302</v>
      </c>
      <c r="C13" s="1"/>
      <c r="D13" s="460">
        <f>'Calculation Sheet'!K86+'Calculation Sheet'!M86</f>
        <v>0</v>
      </c>
      <c r="E13" s="3"/>
      <c r="F13" s="1"/>
      <c r="G13" s="1"/>
      <c r="H13" s="1"/>
      <c r="I13" s="1"/>
      <c r="J13" s="280"/>
    </row>
    <row r="14" spans="1:18">
      <c r="A14" s="275"/>
      <c r="B14" s="1"/>
      <c r="C14" s="1"/>
      <c r="D14" s="3">
        <f>SUM(D13:D13)</f>
        <v>0</v>
      </c>
      <c r="E14" s="1"/>
      <c r="F14" s="1"/>
      <c r="G14" s="1"/>
      <c r="H14" s="1"/>
      <c r="I14" s="1"/>
      <c r="J14" s="280"/>
    </row>
    <row r="15" spans="1:18" s="20" customFormat="1">
      <c r="A15" s="273" t="s">
        <v>303</v>
      </c>
      <c r="B15" s="274"/>
      <c r="C15" s="274"/>
      <c r="D15" s="276"/>
      <c r="E15" s="276"/>
      <c r="F15" s="274"/>
      <c r="G15" s="274"/>
      <c r="H15" s="274"/>
      <c r="I15" s="274"/>
      <c r="J15" s="279"/>
    </row>
    <row r="16" spans="1:18" s="20" customFormat="1" ht="15.75" thickBot="1">
      <c r="A16" s="273"/>
      <c r="B16" s="274"/>
      <c r="C16" s="274"/>
      <c r="D16" s="460">
        <f>'Calculation Sheet'!M108+'Calculation Sheet'!M113+'Calculation Sheet'!M122+'Calculation Sheet'!M150</f>
        <v>0</v>
      </c>
      <c r="E16" s="276"/>
      <c r="F16" s="274"/>
      <c r="G16" s="274"/>
      <c r="H16" s="274"/>
      <c r="I16" s="274"/>
      <c r="J16" s="279"/>
    </row>
    <row r="17" spans="1:10">
      <c r="A17" s="275"/>
      <c r="B17" s="1"/>
      <c r="C17" s="1"/>
      <c r="D17" s="3">
        <f>D16</f>
        <v>0</v>
      </c>
      <c r="E17" s="1"/>
      <c r="F17" s="1"/>
      <c r="G17" s="1"/>
      <c r="H17" s="1"/>
      <c r="I17" s="1"/>
      <c r="J17" s="280"/>
    </row>
    <row r="18" spans="1:10" s="20" customFormat="1">
      <c r="A18" s="273" t="s">
        <v>304</v>
      </c>
      <c r="B18" s="274"/>
      <c r="C18" s="274"/>
      <c r="D18" s="276"/>
      <c r="E18" s="276"/>
      <c r="F18" s="274"/>
      <c r="G18" s="274"/>
      <c r="H18" s="274"/>
      <c r="I18" s="274"/>
      <c r="J18" s="279"/>
    </row>
    <row r="19" spans="1:10" s="20" customFormat="1" ht="15.75" thickBot="1">
      <c r="A19" s="273"/>
      <c r="B19" s="274"/>
      <c r="C19" s="274"/>
      <c r="D19" s="460" t="e">
        <f>'Calculation Sheet'!M156+'Calculation Sheet'!M161+'Calculation Sheet'!M167+'Calculation Sheet'!M180+'Calculation Sheet'!M191+'Calculation Sheet'!M195+'Calculation Sheet'!M199</f>
        <v>#VALUE!</v>
      </c>
      <c r="E19" s="276"/>
      <c r="F19" s="274"/>
      <c r="G19" s="274"/>
      <c r="H19" s="274"/>
      <c r="I19" s="274"/>
      <c r="J19" s="279"/>
    </row>
    <row r="20" spans="1:10">
      <c r="A20" s="275"/>
      <c r="B20" s="1"/>
      <c r="C20" s="1"/>
      <c r="D20" s="3" t="e">
        <f>D19</f>
        <v>#VALUE!</v>
      </c>
      <c r="E20" s="1"/>
      <c r="F20" s="1"/>
      <c r="G20" s="1"/>
      <c r="H20" s="1"/>
      <c r="I20" s="1"/>
      <c r="J20" s="280"/>
    </row>
    <row r="21" spans="1:10" s="20" customFormat="1">
      <c r="A21" s="273" t="s">
        <v>305</v>
      </c>
      <c r="B21" s="274"/>
      <c r="C21" s="274"/>
      <c r="D21" s="276"/>
      <c r="E21" s="276"/>
      <c r="F21" s="274"/>
      <c r="G21" s="274"/>
      <c r="H21" s="274"/>
      <c r="I21" s="274"/>
      <c r="J21" s="279"/>
    </row>
    <row r="22" spans="1:10" s="20" customFormat="1" ht="15.75" thickBot="1">
      <c r="A22" s="273"/>
      <c r="B22" s="274"/>
      <c r="C22" s="274"/>
      <c r="D22" s="461" t="e">
        <f>'Calculation Sheet'!M206+'Calculation Sheet'!M213+'Calculation Sheet'!M219</f>
        <v>#VALUE!</v>
      </c>
      <c r="E22" s="276"/>
      <c r="F22" s="274"/>
      <c r="G22" s="274"/>
      <c r="H22" s="274"/>
      <c r="I22" s="274"/>
      <c r="J22" s="279"/>
    </row>
    <row r="23" spans="1:10" ht="15.75" thickBot="1">
      <c r="A23" s="275"/>
      <c r="B23" s="1"/>
      <c r="C23" s="1"/>
      <c r="D23" s="3" t="e">
        <f>D22</f>
        <v>#VALUE!</v>
      </c>
      <c r="E23" s="1"/>
      <c r="F23" s="1"/>
      <c r="G23" s="1"/>
      <c r="H23" s="1"/>
      <c r="I23" s="1"/>
      <c r="J23" s="280"/>
    </row>
    <row r="24" spans="1:10" s="285" customFormat="1" ht="15.75" thickBot="1">
      <c r="A24" s="283" t="s">
        <v>306</v>
      </c>
      <c r="B24" s="284"/>
      <c r="C24" s="286"/>
      <c r="D24" s="287"/>
      <c r="E24" s="288" t="e">
        <f>D23+D20+D17+D14+D11+D6</f>
        <v>#VALUE!</v>
      </c>
      <c r="F24" s="291"/>
      <c r="G24" s="291"/>
      <c r="H24" s="291"/>
      <c r="I24" s="291"/>
      <c r="J24" s="292"/>
    </row>
    <row r="25" spans="1:10">
      <c r="A25" s="273" t="s">
        <v>307</v>
      </c>
      <c r="B25" s="1"/>
      <c r="C25" s="274"/>
      <c r="D25" s="274"/>
      <c r="E25" s="279"/>
    </row>
    <row r="26" spans="1:10">
      <c r="A26" s="273" t="s">
        <v>306</v>
      </c>
      <c r="B26" s="1"/>
      <c r="C26" s="1"/>
      <c r="D26" s="1"/>
      <c r="E26" s="277" t="e">
        <f>E24</f>
        <v>#VALUE!</v>
      </c>
    </row>
    <row r="27" spans="1:10" ht="15.75" thickBot="1">
      <c r="A27" s="275"/>
      <c r="B27" s="1"/>
      <c r="C27" s="1" t="s">
        <v>62</v>
      </c>
      <c r="D27" s="1"/>
      <c r="E27" s="280"/>
    </row>
    <row r="28" spans="1:10" ht="15.75" thickBot="1">
      <c r="A28" s="273" t="s">
        <v>308</v>
      </c>
      <c r="B28" s="1"/>
      <c r="C28" s="456"/>
      <c r="D28" s="1"/>
      <c r="E28" s="277" t="e">
        <f>E26*C28*0.1</f>
        <v>#VALUE!</v>
      </c>
    </row>
    <row r="29" spans="1:10" ht="15.75" thickBot="1">
      <c r="A29" s="273"/>
      <c r="B29" s="274"/>
      <c r="C29" s="274"/>
      <c r="D29" s="274"/>
      <c r="E29" s="279"/>
    </row>
    <row r="30" spans="1:10" ht="15.75" thickBot="1">
      <c r="A30" s="273" t="s">
        <v>309</v>
      </c>
      <c r="B30" s="1"/>
      <c r="C30" s="456"/>
      <c r="D30" s="1"/>
      <c r="E30" s="277" t="e">
        <f>E26*0.1*C30</f>
        <v>#VALUE!</v>
      </c>
    </row>
    <row r="31" spans="1:10" ht="15.75" thickBot="1">
      <c r="A31" s="275"/>
      <c r="B31" s="245"/>
      <c r="C31" s="245"/>
      <c r="D31" s="245"/>
      <c r="E31" s="250"/>
    </row>
    <row r="32" spans="1:10" ht="15.75" thickBot="1">
      <c r="A32" s="281" t="s">
        <v>310</v>
      </c>
      <c r="B32" s="278"/>
      <c r="C32" s="278"/>
      <c r="D32" s="278"/>
      <c r="E32" s="282" t="e">
        <f>E30+E28+E26</f>
        <v>#VALUE!</v>
      </c>
    </row>
  </sheetData>
  <protectedRanges>
    <protectedRange sqref="C28:C30" name="Range1"/>
  </protectedRanges>
  <mergeCells count="1">
    <mergeCell ref="A1:J1"/>
  </mergeCells>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I35"/>
  <sheetViews>
    <sheetView workbookViewId="0">
      <selection activeCell="F3" sqref="F3"/>
    </sheetView>
  </sheetViews>
  <sheetFormatPr defaultRowHeight="15"/>
  <cols>
    <col min="1" max="1" width="27.28515625" customWidth="1"/>
    <col min="2" max="2" width="15.42578125" customWidth="1"/>
    <col min="3" max="3" width="44.5703125" customWidth="1"/>
    <col min="4" max="4" width="46.85546875" customWidth="1"/>
    <col min="6" max="6" width="21.140625" customWidth="1"/>
  </cols>
  <sheetData>
    <row r="1" spans="1:9" ht="19.5" thickBot="1">
      <c r="A1" s="21" t="s">
        <v>311</v>
      </c>
      <c r="F1" s="21" t="s">
        <v>312</v>
      </c>
    </row>
    <row r="2" spans="1:9" s="18" customFormat="1" ht="30.75">
      <c r="A2" s="26" t="s">
        <v>313</v>
      </c>
      <c r="B2" s="27" t="s">
        <v>314</v>
      </c>
      <c r="C2" s="27" t="s">
        <v>315</v>
      </c>
      <c r="D2" s="28" t="s">
        <v>316</v>
      </c>
      <c r="F2" s="26" t="s">
        <v>317</v>
      </c>
      <c r="G2" s="27" t="s">
        <v>318</v>
      </c>
      <c r="H2" s="31" t="s">
        <v>319</v>
      </c>
      <c r="I2" s="28" t="s">
        <v>320</v>
      </c>
    </row>
    <row r="3" spans="1:9" s="20" customFormat="1">
      <c r="A3" s="164" t="s">
        <v>321</v>
      </c>
      <c r="B3" s="165"/>
      <c r="C3" s="165"/>
      <c r="D3" s="166"/>
      <c r="F3" s="29" t="s">
        <v>322</v>
      </c>
      <c r="G3" s="25">
        <v>1300</v>
      </c>
      <c r="H3" s="25">
        <v>200</v>
      </c>
      <c r="I3" s="32">
        <f>G3+H3</f>
        <v>1500</v>
      </c>
    </row>
    <row r="4" spans="1:9">
      <c r="A4" s="29" t="s">
        <v>323</v>
      </c>
      <c r="B4" s="163">
        <v>150</v>
      </c>
      <c r="C4" s="19" t="s">
        <v>324</v>
      </c>
      <c r="D4" s="30" t="s">
        <v>325</v>
      </c>
      <c r="F4" s="29" t="s">
        <v>326</v>
      </c>
      <c r="G4" s="25">
        <v>1500</v>
      </c>
      <c r="H4" s="25">
        <v>250</v>
      </c>
      <c r="I4" s="32">
        <f>G4+H4</f>
        <v>1750</v>
      </c>
    </row>
    <row r="5" spans="1:9" ht="15.75" thickBot="1">
      <c r="A5" s="29" t="s">
        <v>327</v>
      </c>
      <c r="B5" s="163">
        <v>200</v>
      </c>
      <c r="C5" s="19" t="s">
        <v>328</v>
      </c>
      <c r="D5" s="30" t="s">
        <v>329</v>
      </c>
      <c r="F5" s="33" t="s">
        <v>330</v>
      </c>
      <c r="G5" s="34">
        <v>1750</v>
      </c>
      <c r="H5" s="34">
        <v>350</v>
      </c>
      <c r="I5" s="35">
        <f>G5+H5</f>
        <v>2100</v>
      </c>
    </row>
    <row r="6" spans="1:9">
      <c r="A6" s="29" t="s">
        <v>331</v>
      </c>
      <c r="B6" s="163">
        <v>225</v>
      </c>
      <c r="C6" s="19" t="s">
        <v>332</v>
      </c>
      <c r="D6" s="30" t="s">
        <v>333</v>
      </c>
    </row>
    <row r="7" spans="1:9">
      <c r="A7" s="29" t="s">
        <v>334</v>
      </c>
      <c r="B7" s="163">
        <v>300</v>
      </c>
      <c r="C7" s="19" t="s">
        <v>335</v>
      </c>
      <c r="D7" s="30" t="s">
        <v>336</v>
      </c>
    </row>
    <row r="8" spans="1:9">
      <c r="A8" s="29"/>
      <c r="B8" s="23"/>
      <c r="C8" s="19"/>
      <c r="D8" s="30"/>
    </row>
    <row r="9" spans="1:9" s="20" customFormat="1">
      <c r="A9" s="167" t="s">
        <v>337</v>
      </c>
      <c r="B9" s="168"/>
      <c r="C9" s="169"/>
      <c r="D9" s="170"/>
    </row>
    <row r="10" spans="1:9">
      <c r="A10" s="29" t="s">
        <v>338</v>
      </c>
      <c r="B10" s="163" t="s">
        <v>339</v>
      </c>
      <c r="C10" s="22" t="s">
        <v>340</v>
      </c>
      <c r="D10" s="30" t="s">
        <v>341</v>
      </c>
    </row>
    <row r="11" spans="1:9">
      <c r="A11" s="29" t="s">
        <v>342</v>
      </c>
      <c r="B11" s="163">
        <v>150</v>
      </c>
      <c r="C11" s="22" t="s">
        <v>340</v>
      </c>
      <c r="D11" s="30" t="s">
        <v>343</v>
      </c>
    </row>
    <row r="12" spans="1:9">
      <c r="A12" s="29" t="s">
        <v>344</v>
      </c>
      <c r="B12" s="163">
        <v>175</v>
      </c>
      <c r="C12" s="22" t="s">
        <v>340</v>
      </c>
      <c r="D12" s="30" t="s">
        <v>343</v>
      </c>
    </row>
    <row r="13" spans="1:9">
      <c r="A13" s="29" t="s">
        <v>345</v>
      </c>
      <c r="B13" s="163">
        <v>200</v>
      </c>
      <c r="C13" s="19" t="s">
        <v>328</v>
      </c>
      <c r="D13" s="30" t="s">
        <v>346</v>
      </c>
    </row>
    <row r="14" spans="1:9">
      <c r="A14" s="29" t="s">
        <v>347</v>
      </c>
      <c r="B14" s="163">
        <v>250</v>
      </c>
      <c r="C14" s="19" t="s">
        <v>348</v>
      </c>
      <c r="D14" s="30" t="s">
        <v>346</v>
      </c>
    </row>
    <row r="15" spans="1:9">
      <c r="A15" s="29" t="s">
        <v>349</v>
      </c>
      <c r="B15" s="163">
        <v>250</v>
      </c>
      <c r="C15" s="19" t="s">
        <v>348</v>
      </c>
      <c r="D15" s="30" t="s">
        <v>346</v>
      </c>
    </row>
    <row r="16" spans="1:9">
      <c r="A16" s="29" t="s">
        <v>350</v>
      </c>
      <c r="B16" s="163">
        <v>275</v>
      </c>
      <c r="C16" s="19" t="s">
        <v>351</v>
      </c>
      <c r="D16" s="30" t="s">
        <v>346</v>
      </c>
    </row>
    <row r="17" spans="1:4">
      <c r="A17" s="29" t="s">
        <v>352</v>
      </c>
      <c r="B17" s="163">
        <v>300</v>
      </c>
      <c r="C17" s="19" t="s">
        <v>351</v>
      </c>
      <c r="D17" s="30" t="s">
        <v>353</v>
      </c>
    </row>
    <row r="18" spans="1:4">
      <c r="A18" s="29"/>
      <c r="B18" s="23"/>
      <c r="C18" s="19"/>
      <c r="D18" s="30"/>
    </row>
    <row r="19" spans="1:4" s="20" customFormat="1">
      <c r="A19" s="167" t="s">
        <v>354</v>
      </c>
      <c r="B19" s="171"/>
      <c r="C19" s="165"/>
      <c r="D19" s="166"/>
    </row>
    <row r="20" spans="1:4">
      <c r="A20" s="29" t="s">
        <v>355</v>
      </c>
      <c r="B20" s="163">
        <v>200</v>
      </c>
      <c r="C20" s="19" t="s">
        <v>356</v>
      </c>
      <c r="D20" s="30"/>
    </row>
    <row r="21" spans="1:4">
      <c r="A21" s="29"/>
      <c r="B21" s="23"/>
      <c r="C21" s="19"/>
      <c r="D21" s="30"/>
    </row>
    <row r="22" spans="1:4" s="20" customFormat="1">
      <c r="A22" s="164" t="s">
        <v>357</v>
      </c>
      <c r="B22" s="172"/>
      <c r="C22" s="165"/>
      <c r="D22" s="166"/>
    </row>
    <row r="23" spans="1:4">
      <c r="A23" s="29" t="s">
        <v>358</v>
      </c>
      <c r="B23" s="163">
        <v>100</v>
      </c>
      <c r="C23" s="19" t="s">
        <v>359</v>
      </c>
      <c r="D23" s="30" t="s">
        <v>360</v>
      </c>
    </row>
    <row r="24" spans="1:4">
      <c r="A24" s="29" t="s">
        <v>361</v>
      </c>
      <c r="B24" s="163">
        <v>175</v>
      </c>
      <c r="C24" s="19" t="s">
        <v>362</v>
      </c>
      <c r="D24" s="30" t="s">
        <v>363</v>
      </c>
    </row>
    <row r="25" spans="1:4">
      <c r="A25" s="29" t="s">
        <v>364</v>
      </c>
      <c r="B25" s="163">
        <v>300</v>
      </c>
      <c r="C25" s="19" t="s">
        <v>365</v>
      </c>
      <c r="D25" s="30" t="s">
        <v>366</v>
      </c>
    </row>
    <row r="26" spans="1:4" ht="15.75" thickBot="1">
      <c r="A26" s="33"/>
      <c r="B26" s="144"/>
      <c r="C26" s="145"/>
      <c r="D26" s="146"/>
    </row>
    <row r="28" spans="1:4">
      <c r="A28" s="24" t="s">
        <v>367</v>
      </c>
    </row>
    <row r="29" spans="1:4">
      <c r="A29" t="s">
        <v>368</v>
      </c>
    </row>
    <row r="30" spans="1:4">
      <c r="A30" t="s">
        <v>369</v>
      </c>
    </row>
    <row r="31" spans="1:4">
      <c r="A31" t="s">
        <v>370</v>
      </c>
    </row>
    <row r="32" spans="1:4">
      <c r="A32" t="s">
        <v>371</v>
      </c>
    </row>
    <row r="33" spans="1:1">
      <c r="A33" t="s">
        <v>372</v>
      </c>
    </row>
    <row r="34" spans="1:1">
      <c r="A34" t="s">
        <v>373</v>
      </c>
    </row>
    <row r="35" spans="1:1">
      <c r="A35" t="s">
        <v>374</v>
      </c>
    </row>
  </sheetData>
  <pageMargins left="0.7" right="0.7" top="0.75" bottom="0.75" header="0.3" footer="0.3"/>
  <pageSetup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a3ccab-0c17-49ac-86e6-c3ce1e1d9563" xsi:nil="true"/>
    <lcf76f155ced4ddcb4097134ff3c332f xmlns="8b5fcaf0-9023-4861-8869-94729f6fa1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3CE7BE2DD305449FDA1FDA27399786" ma:contentTypeVersion="12" ma:contentTypeDescription="Create a new document." ma:contentTypeScope="" ma:versionID="2173f42ff43bd547793a6567669efa56">
  <xsd:schema xmlns:xsd="http://www.w3.org/2001/XMLSchema" xmlns:xs="http://www.w3.org/2001/XMLSchema" xmlns:p="http://schemas.microsoft.com/office/2006/metadata/properties" xmlns:ns2="8b5fcaf0-9023-4861-8869-94729f6fa186" xmlns:ns3="f7a3ccab-0c17-49ac-86e6-c3ce1e1d9563" targetNamespace="http://schemas.microsoft.com/office/2006/metadata/properties" ma:root="true" ma:fieldsID="153eb142d2ee7961e548f719ec396190" ns2:_="" ns3:_="">
    <xsd:import namespace="8b5fcaf0-9023-4861-8869-94729f6fa186"/>
    <xsd:import namespace="f7a3ccab-0c17-49ac-86e6-c3ce1e1d95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fcaf0-9023-4861-8869-94729f6fa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43b611e-22ca-4bce-a347-94e91dbf6b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3ccab-0c17-49ac-86e6-c3ce1e1d95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607b0a-960d-43a9-b125-ee6c4c4adda7}" ma:internalName="TaxCatchAll" ma:showField="CatchAllData" ma:web="f7a3ccab-0c17-49ac-86e6-c3ce1e1d9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646E1-5FF7-4FD8-B01E-D4A32922F4AB}"/>
</file>

<file path=customXml/itemProps2.xml><?xml version="1.0" encoding="utf-8"?>
<ds:datastoreItem xmlns:ds="http://schemas.openxmlformats.org/officeDocument/2006/customXml" ds:itemID="{3F32C1AD-56B9-4CB0-9677-8B889E7004C4}"/>
</file>

<file path=customXml/itemProps3.xml><?xml version="1.0" encoding="utf-8"?>
<ds:datastoreItem xmlns:ds="http://schemas.openxmlformats.org/officeDocument/2006/customXml" ds:itemID="{8A745E02-C3C5-487F-8980-AF4E329020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Hillary.Corley</dc:creator>
  <cp:keywords/>
  <dc:description/>
  <cp:lastModifiedBy>Erin.Dowd</cp:lastModifiedBy>
  <cp:revision/>
  <dcterms:created xsi:type="dcterms:W3CDTF">2011-06-22T20:08:30Z</dcterms:created>
  <dcterms:modified xsi:type="dcterms:W3CDTF">2026-05-01T23:01:51Z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0x010100E53CE7BE2DD305449FDA1FDA27399786</vt:lpwstr>
  </property>
  <property fmtid="{D5CDD505-2E9C-101B-9397-08002B2CF9AE}" pid="3" name="MediaServiceImageTags">
    <vt:lpwstr/>
  </property>
</Properties>
</file>